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riffiths\Desktop\final 2020 BRCP\"/>
    </mc:Choice>
  </mc:AlternateContent>
  <xr:revisionPtr revIDLastSave="0" documentId="13_ncr:1_{CD1438A2-7ED9-4667-BB90-51948CDCE13C}" xr6:coauthVersionLast="41" xr6:coauthVersionMax="41" xr10:uidLastSave="{00000000-0000-0000-0000-000000000000}"/>
  <workbookProtection workbookAlgorithmName="SHA-512" workbookHashValue="c1oX1M8ttWeV5Z/kgVN8aaLBsQ0w7ZzL+G6KLjjMZ6nucrZh7ld1adhPm6veYCjIfXsn9RwxAySYZZ7o0or+Hw==" workbookSaltValue="sxjcBGjSOfhe3qKlIZfkhQ==" workbookSpinCount="100000" lockStructure="1"/>
  <bookViews>
    <workbookView xWindow="-28920" yWindow="1935" windowWidth="29040" windowHeight="15990" tabRatio="890" activeTab="1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LC" sheetId="9" r:id="rId9"/>
    <sheet name="FFC" sheetId="8" r:id="rId10"/>
    <sheet name="ESCALATION_FACTORS" sheetId="12" r:id="rId11"/>
  </sheets>
  <definedNames>
    <definedName name="_xlnm.Print_Area" localSheetId="3">'ANNUALISED_FIXED_O&amp;M'!$A$1:$X$152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C6" i="4"/>
  <c r="B18" i="4" l="1"/>
  <c r="B109" i="2" l="1"/>
  <c r="B3" i="6"/>
  <c r="E12" i="9" l="1"/>
  <c r="C113" i="2" l="1"/>
  <c r="E8" i="9" l="1"/>
  <c r="E11" i="9"/>
  <c r="E18" i="9"/>
  <c r="C14" i="5" l="1"/>
  <c r="C13" i="5"/>
  <c r="C12" i="5"/>
  <c r="C29" i="2" l="1"/>
  <c r="C30" i="2"/>
  <c r="C31" i="2"/>
  <c r="C32" i="2"/>
  <c r="B16" i="1" l="1"/>
  <c r="D6" i="4" l="1"/>
  <c r="M87" i="2"/>
  <c r="N87" i="2" s="1"/>
  <c r="B9" i="3"/>
  <c r="E6" i="9"/>
  <c r="E7" i="9"/>
  <c r="E9" i="9"/>
  <c r="E10" i="9"/>
  <c r="E5" i="9"/>
  <c r="H87" i="2"/>
  <c r="I87" i="2" s="1"/>
  <c r="J87" i="2" s="1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5" i="4"/>
  <c r="D7" i="4"/>
  <c r="D8" i="4"/>
  <c r="D9" i="4"/>
  <c r="D10" i="4"/>
  <c r="B17" i="4" s="1"/>
  <c r="B20" i="4" s="1"/>
  <c r="D11" i="4"/>
  <c r="D12" i="4"/>
  <c r="D13" i="4"/>
  <c r="D14" i="4"/>
  <c r="D15" i="4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B29" i="2"/>
  <c r="B30" i="2"/>
  <c r="B31" i="2"/>
  <c r="B32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B63" i="2"/>
  <c r="C63" i="2"/>
  <c r="B64" i="2"/>
  <c r="C64" i="2"/>
  <c r="B65" i="2"/>
  <c r="C65" i="2"/>
  <c r="B66" i="2"/>
  <c r="C66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/>
  <c r="G86" i="2" s="1"/>
  <c r="H86" i="2" s="1"/>
  <c r="C87" i="2"/>
  <c r="C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B21" i="4" l="1"/>
  <c r="B26" i="3"/>
  <c r="B21" i="3"/>
  <c r="C115" i="2"/>
  <c r="D87" i="2"/>
  <c r="D88" i="2" s="1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C20" i="2"/>
  <c r="D53" i="2"/>
  <c r="D54" i="2" s="1"/>
  <c r="C54" i="2"/>
  <c r="M20" i="2"/>
  <c r="H20" i="2"/>
  <c r="B29" i="9"/>
  <c r="I20" i="2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C18" i="8"/>
  <c r="B15" i="3" s="1"/>
  <c r="J88" i="2"/>
  <c r="K87" i="2"/>
  <c r="N88" i="2"/>
  <c r="O87" i="2"/>
  <c r="I88" i="2"/>
  <c r="E87" i="2"/>
  <c r="E88" i="2" s="1"/>
  <c r="Q53" i="2"/>
  <c r="Q54" i="2" s="1"/>
  <c r="O54" i="2"/>
  <c r="B3" i="3" l="1"/>
  <c r="B106" i="2"/>
  <c r="E53" i="2"/>
  <c r="B30" i="9"/>
  <c r="B31" i="9" s="1"/>
  <c r="K53" i="2"/>
  <c r="K54" i="2" s="1"/>
  <c r="E20" i="2"/>
  <c r="F19" i="2"/>
  <c r="O19" i="2"/>
  <c r="N20" i="2"/>
  <c r="K19" i="2"/>
  <c r="J20" i="2"/>
  <c r="B107" i="2"/>
  <c r="C111" i="2" s="1"/>
  <c r="C116" i="2" s="1"/>
  <c r="C127" i="2" s="1"/>
  <c r="E22" i="9"/>
  <c r="B18" i="3" s="1"/>
  <c r="B24" i="3" s="1"/>
  <c r="B28" i="3" s="1"/>
  <c r="O88" i="2"/>
  <c r="P87" i="2"/>
  <c r="L87" i="2"/>
  <c r="L88" i="2" s="1"/>
  <c r="K88" i="2"/>
  <c r="F87" i="2"/>
  <c r="L53" i="2"/>
  <c r="L54" i="2" s="1"/>
  <c r="E54" i="2"/>
  <c r="F53" i="2"/>
  <c r="B13" i="1" l="1"/>
  <c r="C21" i="2"/>
  <c r="C22" i="2" s="1"/>
  <c r="C89" i="2"/>
  <c r="C90" i="2" s="1"/>
  <c r="C55" i="2"/>
  <c r="D55" i="2" s="1"/>
  <c r="E55" i="2" s="1"/>
  <c r="B32" i="9"/>
  <c r="F20" i="2"/>
  <c r="G19" i="2"/>
  <c r="G20" i="2" s="1"/>
  <c r="P19" i="2"/>
  <c r="O20" i="2"/>
  <c r="K20" i="2"/>
  <c r="L19" i="2"/>
  <c r="L20" i="2" s="1"/>
  <c r="P88" i="2"/>
  <c r="Q87" i="2"/>
  <c r="Q88" i="2" s="1"/>
  <c r="F88" i="2"/>
  <c r="G87" i="2"/>
  <c r="G88" i="2" s="1"/>
  <c r="G53" i="2"/>
  <c r="G54" i="2" s="1"/>
  <c r="F54" i="2"/>
  <c r="D89" i="2" l="1"/>
  <c r="D90" i="2" s="1"/>
  <c r="D21" i="2"/>
  <c r="D22" i="2" s="1"/>
  <c r="D56" i="2"/>
  <c r="C56" i="2"/>
  <c r="P20" i="2"/>
  <c r="Q19" i="2"/>
  <c r="Q20" i="2" s="1"/>
  <c r="F55" i="2"/>
  <c r="E56" i="2"/>
  <c r="E89" i="2" l="1"/>
  <c r="E90" i="2" s="1"/>
  <c r="E21" i="2"/>
  <c r="F21" i="2" s="1"/>
  <c r="F22" i="2" s="1"/>
  <c r="F89" i="2"/>
  <c r="G89" i="2" s="1"/>
  <c r="F56" i="2"/>
  <c r="G55" i="2"/>
  <c r="G21" i="2" l="1"/>
  <c r="E22" i="2"/>
  <c r="F90" i="2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l="1"/>
  <c r="D112" i="2" s="1"/>
  <c r="E1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Katelyn Rigden</author>
    <author>Trevor Griffiths</author>
    <author>Neetika Kapani</author>
  </authors>
  <commentList>
    <comment ref="B10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Trevor Griffiths:</t>
        </r>
        <r>
          <rPr>
            <sz val="9"/>
            <color indexed="81"/>
            <rFont val="Tahoma"/>
            <family val="2"/>
          </rPr>
          <t xml:space="preserve">
Costs escalated to 1/04/2022</t>
        </r>
      </text>
    </comment>
    <comment ref="B110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2" shapeId="0" xr:uid="{ED977629-5F9B-458E-BC78-660A5D0A5A51}">
      <text>
        <r>
          <rPr>
            <b/>
            <sz val="9"/>
            <color indexed="81"/>
            <rFont val="Tahoma"/>
            <family val="2"/>
          </rPr>
          <t>Trevor Griffiths:</t>
        </r>
        <r>
          <rPr>
            <sz val="9"/>
            <color indexed="81"/>
            <rFont val="Tahoma"/>
            <family val="2"/>
          </rPr>
          <t xml:space="preserve">
Includes stamp duty</t>
        </r>
      </text>
    </comment>
    <comment ref="B115" authorId="3" shapeId="0" xr:uid="{35E64910-7971-4A4C-942D-7FAE9042A276}">
      <text>
        <r>
          <rPr>
            <sz val="9"/>
            <color indexed="81"/>
            <rFont val="Tahoma"/>
            <family val="2"/>
          </rPr>
          <t>Received advice that 20000 was an appropriate figure for 2019.</t>
        </r>
      </text>
    </comment>
    <comment ref="B133" authorId="3" shapeId="0" xr:uid="{00000000-0006-0000-0300-000007000000}">
      <text>
        <r>
          <rPr>
            <sz val="9"/>
            <color indexed="81"/>
            <rFont val="Tahoma"/>
            <family val="2"/>
          </rPr>
          <t>WP price list 2019-20 section 8.3.3 Control system services Table 29</t>
        </r>
      </text>
    </comment>
    <comment ref="B134" authorId="3" shapeId="0" xr:uid="{00000000-0006-0000-0300-000008000000}">
      <text>
        <r>
          <rPr>
            <sz val="9"/>
            <color indexed="81"/>
            <rFont val="Tahoma"/>
            <family val="2"/>
          </rPr>
          <t>WP price list 2019-20 metering prices table 21</t>
        </r>
      </text>
    </comment>
    <comment ref="B135" authorId="3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25 -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<sst xmlns="http://schemas.openxmlformats.org/spreadsheetml/2006/main" count="283" uniqueCount="170">
  <si>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</si>
  <si>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</si>
  <si>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</si>
  <si>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</si>
  <si>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</si>
  <si>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</si>
  <si>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</si>
  <si>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</si>
  <si>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</si>
  <si>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</si>
  <si>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</si>
  <si>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</si>
  <si>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</si>
  <si>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</si>
  <si>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</si>
  <si>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</si>
  <si>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</si>
  <si>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</si>
  <si>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</si>
  <si>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</si>
  <si>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</si>
  <si>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</si>
  <si>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</si>
  <si>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</si>
  <si>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</si>
  <si>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</si>
  <si>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</si>
  <si>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</si>
  <si>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</si>
  <si>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</si>
  <si>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</si>
  <si>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</si>
  <si>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</si>
  <si>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</si>
  <si>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</si>
  <si>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</si>
  <si>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</si>
  <si>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</si>
  <si>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</si>
  <si>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</si>
  <si>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</si>
  <si>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</si>
  <si>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</si>
  <si>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</si>
  <si>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</si>
  <si>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</si>
  <si>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</si>
  <si>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</si>
  <si>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</si>
  <si>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</si>
  <si>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</si>
  <si>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</si>
  <si>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</si>
  <si>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</si>
  <si>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</si>
  <si>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</si>
  <si>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</si>
  <si>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</si>
  <si>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</si>
  <si>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</si>
  <si>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</si>
  <si>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</si>
  <si>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</si>
  <si>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</si>
  <si>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</si>
  <si>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</si>
  <si>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</si>
  <si>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</si>
  <si>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</si>
  <si>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</si>
  <si>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</si>
  <si>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</si>
  <si>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</si>
  <si>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</si>
  <si>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</si>
  <si>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</si>
  <si>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</si>
  <si>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</si>
  <si>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</si>
  <si>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</si>
  <si>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</si>
  <si>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</si>
  <si>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</si>
  <si>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</si>
  <si>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</si>
  <si>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</si>
  <si>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</si>
  <si>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</si>
  <si>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</si>
  <si>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</si>
  <si>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</si>
  <si>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</si>
  <si>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</si>
  <si>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</si>
  <si>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</si>
  <si>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</si>
  <si>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</si>
  <si>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</si>
  <si>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</si>
  <si>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</si>
  <si>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</si>
  <si>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</si>
  <si>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</si>
  <si>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</si>
  <si>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</si>
  <si>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</si>
  <si>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</si>
  <si>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</si>
  <si>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</si>
  <si>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</si>
  <si>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</si>
  <si>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</si>
  <si>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</si>
  <si>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</si>
  <si>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</si>
  <si>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</si>
  <si>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</si>
  <si>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</si>
  <si>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</si>
  <si>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</si>
  <si>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</si>
  <si>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</si>
  <si>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</si>
  <si>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</si>
  <si>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</si>
  <si>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</si>
  <si>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</si>
  <si>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</si>
  <si>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</si>
  <si>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</si>
  <si>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</si>
  <si>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</si>
  <si>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</si>
  <si>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</si>
  <si>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</si>
  <si>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</si>
  <si>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</si>
  <si>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</si>
  <si>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</si>
  <si>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</si>
  <si>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</si>
  <si>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</si>
  <si>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</si>
  <si>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</si>
  <si>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</si>
  <si>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</si>
  <si>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</si>
  <si>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</si>
  <si>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</si>
  <si>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</si>
  <si>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</si>
  <si>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</si>
  <si>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</si>
  <si>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</si>
  <si>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</si>
  <si>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</si>
  <si>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</si>
  <si>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</si>
  <si>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</si>
  <si>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</si>
  <si>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</si>
  <si>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</si>
  <si>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</si>
  <si>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</si>
  <si>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</si>
  <si>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</si>
  <si>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2019</t>
  </si>
  <si>
    <t>Draft report for 2022-23</t>
  </si>
  <si>
    <t>https://www.rba.gov.au/publications/smp/2019/aug/economic-outlook.html</t>
  </si>
  <si>
    <t>Total easement cost 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</si>
</sst>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164" fontId="0" fillId="0" borderId="0" xfId="0" applyNumberFormat="1" applyFill="1" applyProtection="1"/>
    <xf numFmtId="8" fontId="21" fillId="0" borderId="0" xfId="0" applyNumberFormat="1" applyFont="1" applyBorder="1" applyAlignment="1">
      <alignment vertical="center"/>
    </xf>
    <xf numFmtId="8" fontId="0" fillId="0" borderId="0" xfId="0" applyNumberFormat="1" applyBorder="1" applyProtection="1"/>
    <xf numFmtId="10" fontId="1" fillId="9" borderId="24" xfId="0" applyNumberFormat="1" applyFont="1" applyFill="1" applyBorder="1" applyAlignment="1" applyProtection="1">
      <alignment vertical="center"/>
    </xf>
    <xf numFmtId="10" fontId="1" fillId="9" borderId="25" xfId="0" applyNumberFormat="1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6" xr:uid="{00000000-0005-0000-0000-000003000000}"/>
    <cellStyle name="Percent" xfId="3" builtinId="5"/>
    <cellStyle name="Percent 2" xfId="4" xr:uid="{00000000-0005-0000-0000-000005000000}"/>
    <cellStyle name="Percent 2 2" xfId="7" xr:uid="{00000000-0005-0000-0000-000006000000}"/>
    <cellStyle name="Percent 3" xfId="5" xr:uid="{00000000-0005-0000-0000-000007000000}"/>
    <cellStyle name="Percent 3 2" xfId="8" xr:uid="{00000000-0005-0000-0000-000008000000}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39"/>
  <sheetViews>
    <sheetView showGridLines="0" workbookViewId="0">
      <selection activeCell="A16" sqref="A16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156</v>
      </c>
    </row>
    <row r="2" spans="1:1" ht="15" x14ac:dyDescent="0.25">
      <c r="A2" s="114" t="s">
        <v>167</v>
      </c>
    </row>
    <row r="4" spans="1:1" x14ac:dyDescent="0.2">
      <c r="A4" s="143" t="s">
        <v>157</v>
      </c>
    </row>
    <row r="6" spans="1:1" x14ac:dyDescent="0.2">
      <c r="A6" s="1" t="s">
        <v>78</v>
      </c>
    </row>
    <row r="7" spans="1:1" x14ac:dyDescent="0.2">
      <c r="A7" s="1" t="s">
        <v>79</v>
      </c>
    </row>
    <row r="9" spans="1:1" x14ac:dyDescent="0.2">
      <c r="A9" s="1" t="s">
        <v>80</v>
      </c>
    </row>
    <row r="10" spans="1:1" x14ac:dyDescent="0.2">
      <c r="A10" s="129" t="s">
        <v>151</v>
      </c>
    </row>
    <row r="11" spans="1:1" x14ac:dyDescent="0.2">
      <c r="A11" s="129" t="s">
        <v>150</v>
      </c>
    </row>
    <row r="12" spans="1:1" x14ac:dyDescent="0.2">
      <c r="A12" s="129" t="s">
        <v>152</v>
      </c>
    </row>
    <row r="13" spans="1:1" x14ac:dyDescent="0.2">
      <c r="A13" s="129" t="s">
        <v>153</v>
      </c>
    </row>
    <row r="14" spans="1:1" x14ac:dyDescent="0.2">
      <c r="A14" s="116" t="s">
        <v>133</v>
      </c>
    </row>
    <row r="15" spans="1:1" x14ac:dyDescent="0.2">
      <c r="A15" s="129" t="s">
        <v>154</v>
      </c>
    </row>
    <row r="16" spans="1:1" x14ac:dyDescent="0.2">
      <c r="A16" s="115" t="s">
        <v>134</v>
      </c>
    </row>
    <row r="17" spans="1:1" x14ac:dyDescent="0.2">
      <c r="A17" s="129" t="s">
        <v>155</v>
      </c>
    </row>
    <row r="18" spans="1:1" x14ac:dyDescent="0.2">
      <c r="A18" s="1"/>
    </row>
    <row r="19" spans="1:1" x14ac:dyDescent="0.2">
      <c r="A19" s="143" t="s">
        <v>158</v>
      </c>
    </row>
    <row r="20" spans="1:1" x14ac:dyDescent="0.2">
      <c r="A20" s="129" t="s">
        <v>81</v>
      </c>
    </row>
    <row r="21" spans="1:1" x14ac:dyDescent="0.2">
      <c r="A21" s="129" t="s">
        <v>159</v>
      </c>
    </row>
    <row r="22" spans="1:1" x14ac:dyDescent="0.2">
      <c r="A22" s="117"/>
    </row>
    <row r="23" spans="1:1" x14ac:dyDescent="0.2">
      <c r="A23" s="117"/>
    </row>
    <row r="24" spans="1:1" x14ac:dyDescent="0.2">
      <c r="A24" s="117"/>
    </row>
    <row r="25" spans="1:1" x14ac:dyDescent="0.2">
      <c r="A25" s="117"/>
    </row>
    <row r="26" spans="1:1" x14ac:dyDescent="0.2">
      <c r="A26" s="117"/>
    </row>
    <row r="27" spans="1:1" x14ac:dyDescent="0.2">
      <c r="A27" s="117"/>
    </row>
    <row r="28" spans="1:1" x14ac:dyDescent="0.2">
      <c r="A28" s="117"/>
    </row>
    <row r="29" spans="1:1" x14ac:dyDescent="0.2">
      <c r="A29" s="117"/>
    </row>
    <row r="30" spans="1:1" x14ac:dyDescent="0.2">
      <c r="A30" s="117"/>
    </row>
    <row r="31" spans="1:1" x14ac:dyDescent="0.2">
      <c r="A31" s="117"/>
    </row>
    <row r="32" spans="1:1" x14ac:dyDescent="0.2">
      <c r="A32" s="117"/>
    </row>
    <row r="33" spans="1:1" x14ac:dyDescent="0.2">
      <c r="A33" s="117"/>
    </row>
    <row r="34" spans="1:1" x14ac:dyDescent="0.2">
      <c r="A34" s="117"/>
    </row>
    <row r="35" spans="1:1" x14ac:dyDescent="0.2">
      <c r="A35" s="117"/>
    </row>
    <row r="36" spans="1:1" x14ac:dyDescent="0.2">
      <c r="A36" s="117"/>
    </row>
    <row r="37" spans="1:1" x14ac:dyDescent="0.2">
      <c r="A37" s="117"/>
    </row>
    <row r="38" spans="1:1" x14ac:dyDescent="0.2">
      <c r="A38" s="117"/>
    </row>
    <row r="39" spans="1:1" x14ac:dyDescent="0.2">
      <c r="A39" s="117"/>
    </row>
  </sheetData>
  <sheetProtection algorithmName="SHA-512" hashValue="hihZ6qmtNuDx8dlf7/Tl6JOq7CkL4rVNfg0YiQn74NwV8FCi9LdxBm8Pe6jd7Oj8GLzWCBfvRQKLjjbCS9Tf1A==" saltValue="bfgH1Z+Bme+5ArtCbKeZsQ==" spinCount="100000" sheet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E9" sqref="E9"/>
    </sheetView>
  </sheetViews>
  <sheetFormatPr defaultColWidth="9.140625"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66" t="s">
        <v>90</v>
      </c>
      <c r="B1" s="168"/>
      <c r="C1" s="167"/>
    </row>
    <row r="3" spans="1:7" x14ac:dyDescent="0.2">
      <c r="A3" s="64" t="s">
        <v>110</v>
      </c>
    </row>
    <row r="4" spans="1:7" ht="13.5" thickBot="1" x14ac:dyDescent="0.25"/>
    <row r="5" spans="1:7" ht="13.5" thickBot="1" x14ac:dyDescent="0.25">
      <c r="A5" s="19" t="s">
        <v>148</v>
      </c>
      <c r="C5" s="119">
        <v>6317933</v>
      </c>
      <c r="E5" s="19"/>
    </row>
    <row r="6" spans="1:7" ht="31.5" customHeight="1" thickBot="1" x14ac:dyDescent="0.25">
      <c r="A6" s="113" t="s">
        <v>109</v>
      </c>
      <c r="C6" s="132">
        <v>517007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114</v>
      </c>
      <c r="C8" s="87">
        <f>SUM(C5:C6)</f>
        <v>6834940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67</v>
      </c>
      <c r="C10" s="33" t="s">
        <v>66</v>
      </c>
      <c r="E10" s="19"/>
    </row>
    <row r="11" spans="1:7" s="19" customFormat="1" ht="13.5" thickBot="1" x14ac:dyDescent="0.25">
      <c r="A11" s="20" t="s">
        <v>112</v>
      </c>
      <c r="C11" s="31">
        <v>43646</v>
      </c>
    </row>
    <row r="12" spans="1:7" s="19" customFormat="1" ht="13.5" thickBot="1" x14ac:dyDescent="0.25">
      <c r="A12" s="20" t="s">
        <v>113</v>
      </c>
      <c r="C12" s="32">
        <v>44652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131</v>
      </c>
      <c r="B14" s="92">
        <f>ESCALATION_FACTORS!$B$4</f>
        <v>44012</v>
      </c>
      <c r="C14" s="101">
        <f>VLOOKUP($C$10,ESCALATION_FACTORS!$A$5:$E$9,2,)</f>
        <v>1.7500000000000002E-2</v>
      </c>
      <c r="E14" s="19"/>
    </row>
    <row r="15" spans="1:7" s="19" customFormat="1" ht="13.5" thickBot="1" x14ac:dyDescent="0.25">
      <c r="A15" s="20"/>
      <c r="B15" s="92">
        <f>ESCALATION_FACTORS!$C$4</f>
        <v>44377</v>
      </c>
      <c r="C15" s="101">
        <f>VLOOKUP($C$10,ESCALATION_FACTORS!$A$5:$E$9,3,)</f>
        <v>0.02</v>
      </c>
      <c r="D15" s="20"/>
    </row>
    <row r="16" spans="1:7" s="19" customFormat="1" ht="13.5" thickBot="1" x14ac:dyDescent="0.25">
      <c r="A16" s="20"/>
      <c r="B16" s="92">
        <f>ESCALATION_FACTORS!$D$4</f>
        <v>44742</v>
      </c>
      <c r="C16" s="101">
        <f>VLOOKUP($C$10,ESCALATION_FACTORS!$A$5:$E$9,4,)</f>
        <v>2.2499999999999999E-2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7213563.7996095791</v>
      </c>
    </row>
  </sheetData>
  <sheetProtection algorithmName="SHA-512" hashValue="Wpaes8p7c1nj6vUMqmtqE8XYfxI23MlSAMOipAYQNJRpt+t97ttkrgn69TrV3tkF3PZjwQ7tgFIOzybtgB7tQQ==" saltValue="0wrE7ASD/LRTxErL97fFWA==" spinCount="100000" sheet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0"/>
  <sheetViews>
    <sheetView showGridLines="0" zoomScaleNormal="100" workbookViewId="0">
      <selection activeCell="F38" sqref="F38"/>
    </sheetView>
  </sheetViews>
  <sheetFormatPr defaultColWidth="9.140625"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66" t="s">
        <v>65</v>
      </c>
      <c r="B1" s="168"/>
      <c r="C1" s="168"/>
      <c r="D1" s="168"/>
      <c r="E1" s="167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69" t="s">
        <v>129</v>
      </c>
      <c r="C3" s="169"/>
      <c r="D3" s="169"/>
      <c r="E3" s="169"/>
      <c r="F3"/>
    </row>
    <row r="4" spans="1:10" ht="13.5" thickBot="1" x14ac:dyDescent="0.25">
      <c r="A4"/>
      <c r="B4" s="154">
        <v>44012</v>
      </c>
      <c r="C4" s="155">
        <v>44377</v>
      </c>
      <c r="D4" s="154">
        <v>44742</v>
      </c>
      <c r="E4" s="155">
        <v>45107</v>
      </c>
      <c r="F4"/>
      <c r="G4" s="19"/>
      <c r="H4" s="19"/>
      <c r="I4" s="19"/>
      <c r="J4" s="19"/>
    </row>
    <row r="5" spans="1:10" ht="18" customHeight="1" x14ac:dyDescent="0.2">
      <c r="A5" s="160" t="s">
        <v>82</v>
      </c>
      <c r="B5" s="156">
        <v>5.3999999999999999E-2</v>
      </c>
      <c r="C5" s="157">
        <v>-3.1E-2</v>
      </c>
      <c r="D5" s="157">
        <v>1E-3</v>
      </c>
      <c r="E5" s="158">
        <v>3.5999999999999997E-2</v>
      </c>
      <c r="F5"/>
      <c r="G5" s="19"/>
      <c r="H5" s="19"/>
      <c r="I5" s="19"/>
      <c r="J5" s="19"/>
    </row>
    <row r="6" spans="1:10" ht="18" customHeight="1" x14ac:dyDescent="0.2">
      <c r="A6" s="160" t="s">
        <v>104</v>
      </c>
      <c r="B6" s="125">
        <v>0.04</v>
      </c>
      <c r="C6" s="126">
        <v>4.0000000000000001E-3</v>
      </c>
      <c r="D6" s="126">
        <v>1.2999999999999999E-2</v>
      </c>
      <c r="E6" s="127">
        <v>0.02</v>
      </c>
      <c r="F6"/>
      <c r="G6" s="19"/>
      <c r="H6" s="19"/>
      <c r="I6" s="19"/>
      <c r="J6" s="19"/>
    </row>
    <row r="7" spans="1:10" ht="18" customHeight="1" x14ac:dyDescent="0.2">
      <c r="A7" s="160" t="s">
        <v>127</v>
      </c>
      <c r="B7" s="125">
        <v>2.3E-2</v>
      </c>
      <c r="C7" s="126">
        <v>0.02</v>
      </c>
      <c r="D7" s="126">
        <v>1.7999999999999999E-2</v>
      </c>
      <c r="E7" s="127">
        <v>2.5999999999999999E-2</v>
      </c>
      <c r="F7"/>
      <c r="G7" s="19"/>
      <c r="H7" s="19"/>
      <c r="I7" s="19"/>
      <c r="J7" s="19"/>
    </row>
    <row r="8" spans="1:10" ht="18" customHeight="1" x14ac:dyDescent="0.2">
      <c r="A8" s="159" t="s">
        <v>66</v>
      </c>
      <c r="B8" s="125">
        <v>1.7500000000000002E-2</v>
      </c>
      <c r="C8" s="125">
        <v>0.02</v>
      </c>
      <c r="D8" s="125">
        <v>2.2499999999999999E-2</v>
      </c>
      <c r="E8" s="125">
        <v>2.5000000000000001E-2</v>
      </c>
      <c r="F8" s="143" t="s">
        <v>168</v>
      </c>
      <c r="G8" s="19"/>
      <c r="H8" s="19"/>
      <c r="I8" s="19"/>
      <c r="J8" s="19"/>
    </row>
    <row r="9" spans="1:10" ht="18" customHeight="1" thickBot="1" x14ac:dyDescent="0.25">
      <c r="A9" s="159" t="s">
        <v>128</v>
      </c>
      <c r="B9" s="128">
        <v>1.1900000000000001E-2</v>
      </c>
      <c r="C9" s="128">
        <v>1.1900000000000001E-2</v>
      </c>
      <c r="D9" s="128">
        <v>1.1900000000000001E-2</v>
      </c>
      <c r="E9" s="128">
        <v>1.1900000000000001E-2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kBlnzZMn1lZMfL9VyphpMkO2GJmr6lBu9wNnvgvCXogV8nDOZUGappXkw3SOloFjf0OtviulovWASAit3q1lkQ==" saltValue="RMtzX59evO9NIDm31UOVag==" spinCount="100000" sheet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tabSelected="1" zoomScale="85" zoomScaleNormal="100" workbookViewId="0">
      <selection activeCell="D28" sqref="D28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161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162</v>
      </c>
      <c r="B3" s="35">
        <f>B10+B13/B16</f>
        <v>141889.81248185132</v>
      </c>
      <c r="C3" s="66" t="s">
        <v>24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163</v>
      </c>
      <c r="B7" s="67"/>
      <c r="C7" s="66"/>
      <c r="D7" s="23"/>
      <c r="E7" s="23"/>
      <c r="F7" s="23"/>
    </row>
    <row r="8" spans="1:6" x14ac:dyDescent="0.2">
      <c r="A8" s="147" t="s">
        <v>164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83</v>
      </c>
      <c r="B10" s="35">
        <f>'ANNUALISED_FIXED_O&amp;M'!C149</f>
        <v>31168.014527213316</v>
      </c>
      <c r="C10" s="66" t="s">
        <v>24</v>
      </c>
      <c r="D10" s="23"/>
      <c r="E10" s="23"/>
      <c r="F10" s="23"/>
    </row>
    <row r="11" spans="1:6" ht="25.5" x14ac:dyDescent="0.2">
      <c r="A11" s="68" t="s">
        <v>84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85</v>
      </c>
      <c r="B13" s="35">
        <f>ANNUALISED_CAP_COST!B28</f>
        <v>16860715.392532274</v>
      </c>
      <c r="C13" s="66" t="s">
        <v>23</v>
      </c>
      <c r="D13" s="23"/>
      <c r="E13" s="23"/>
      <c r="F13" s="23"/>
    </row>
    <row r="14" spans="1:6" ht="25.5" x14ac:dyDescent="0.2">
      <c r="A14" s="68" t="s">
        <v>86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87</v>
      </c>
      <c r="B16" s="104">
        <f>PC!C4</f>
        <v>152.28</v>
      </c>
      <c r="C16" s="66" t="s">
        <v>18</v>
      </c>
      <c r="D16" s="71"/>
      <c r="E16" s="70"/>
      <c r="F16" s="23"/>
    </row>
    <row r="17" spans="1:6" x14ac:dyDescent="0.2">
      <c r="A17" s="68" t="s">
        <v>111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  <row r="22" spans="1:6" x14ac:dyDescent="0.2">
      <c r="B22" s="18"/>
    </row>
  </sheetData>
  <sheetProtection algorithmName="SHA-512" hashValue="Mjm1kOpX2a/xrMqXEoIbjAbbkQukjM8E9HPu3DngR624BjQJ/GA47Edw9T1e2UjcgzcAddlayLAjztoZOse7Fw==" saltValue="JHDl/ur1AjOlI36v2L63H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D31" sqref="D31"/>
    </sheetView>
  </sheetViews>
  <sheetFormatPr defaultColWidth="9.140625" defaultRowHeight="12.75" x14ac:dyDescent="0.2"/>
  <cols>
    <col min="1" max="1" width="102.7109375" style="19" customWidth="1"/>
    <col min="2" max="2" width="17" style="24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85</v>
      </c>
      <c r="B1" s="46"/>
      <c r="C1" s="47"/>
    </row>
    <row r="2" spans="1:3" x14ac:dyDescent="0.2">
      <c r="A2" s="26"/>
    </row>
    <row r="3" spans="1:3" x14ac:dyDescent="0.2">
      <c r="A3" s="24" t="s">
        <v>88</v>
      </c>
      <c r="B3" s="42">
        <f>PC!C16</f>
        <v>859629.34705460432</v>
      </c>
      <c r="C3" s="48" t="s">
        <v>21</v>
      </c>
    </row>
    <row r="4" spans="1:3" ht="25.5" x14ac:dyDescent="0.2">
      <c r="A4" s="49" t="s">
        <v>118</v>
      </c>
    </row>
    <row r="5" spans="1:3" x14ac:dyDescent="0.2">
      <c r="A5" s="26"/>
    </row>
    <row r="6" spans="1:3" x14ac:dyDescent="0.2">
      <c r="A6" s="24" t="s">
        <v>16</v>
      </c>
      <c r="B6" s="50">
        <f>M!B3</f>
        <v>0.17163930368652619</v>
      </c>
      <c r="C6" s="48" t="s">
        <v>17</v>
      </c>
    </row>
    <row r="7" spans="1:3" x14ac:dyDescent="0.2">
      <c r="A7" s="49" t="s">
        <v>117</v>
      </c>
    </row>
    <row r="8" spans="1:3" x14ac:dyDescent="0.2">
      <c r="A8" s="49"/>
    </row>
    <row r="9" spans="1:3" x14ac:dyDescent="0.2">
      <c r="A9" s="24" t="s">
        <v>87</v>
      </c>
      <c r="B9" s="105">
        <f>PC!C4</f>
        <v>152.28</v>
      </c>
      <c r="C9" s="48" t="s">
        <v>18</v>
      </c>
    </row>
    <row r="10" spans="1:3" x14ac:dyDescent="0.2">
      <c r="A10" s="49" t="s">
        <v>119</v>
      </c>
    </row>
    <row r="11" spans="1:3" x14ac:dyDescent="0.2">
      <c r="A11" s="26"/>
    </row>
    <row r="12" spans="1:3" x14ac:dyDescent="0.2">
      <c r="A12" s="24" t="s">
        <v>89</v>
      </c>
      <c r="B12" s="42">
        <f>TC!B11</f>
        <v>181760</v>
      </c>
      <c r="C12" s="48" t="s">
        <v>22</v>
      </c>
    </row>
    <row r="13" spans="1:3" x14ac:dyDescent="0.2">
      <c r="A13" s="49" t="s">
        <v>120</v>
      </c>
    </row>
    <row r="14" spans="1:3" x14ac:dyDescent="0.2">
      <c r="A14" s="26"/>
    </row>
    <row r="15" spans="1:3" x14ac:dyDescent="0.2">
      <c r="A15" s="24" t="s">
        <v>90</v>
      </c>
      <c r="B15" s="42">
        <f>FFC!C18</f>
        <v>7213563.7996095791</v>
      </c>
      <c r="C15" s="48" t="s">
        <v>22</v>
      </c>
    </row>
    <row r="16" spans="1:3" x14ac:dyDescent="0.2">
      <c r="A16" s="49" t="s">
        <v>121</v>
      </c>
    </row>
    <row r="17" spans="1:3" x14ac:dyDescent="0.2">
      <c r="A17" s="26"/>
    </row>
    <row r="18" spans="1:3" x14ac:dyDescent="0.2">
      <c r="A18" s="24" t="s">
        <v>91</v>
      </c>
      <c r="B18" s="42">
        <f>LC!E22</f>
        <v>2536249.7758095991</v>
      </c>
      <c r="C18" s="48" t="s">
        <v>22</v>
      </c>
    </row>
    <row r="19" spans="1:3" x14ac:dyDescent="0.2">
      <c r="A19" s="26" t="s">
        <v>122</v>
      </c>
    </row>
    <row r="20" spans="1:3" x14ac:dyDescent="0.2">
      <c r="A20" s="26"/>
    </row>
    <row r="21" spans="1:3" x14ac:dyDescent="0.2">
      <c r="A21" s="24" t="s">
        <v>14</v>
      </c>
      <c r="B21" s="51">
        <f>WACC!B21</f>
        <v>3.5054645841999577E-2</v>
      </c>
      <c r="C21" s="48" t="s">
        <v>17</v>
      </c>
    </row>
    <row r="22" spans="1:3" x14ac:dyDescent="0.2">
      <c r="A22" s="26" t="s">
        <v>123</v>
      </c>
    </row>
    <row r="23" spans="1:3" x14ac:dyDescent="0.2">
      <c r="A23" s="26"/>
    </row>
    <row r="24" spans="1:3" x14ac:dyDescent="0.2">
      <c r="A24" s="24" t="s">
        <v>92</v>
      </c>
      <c r="B24" s="42">
        <f>(B3*(1+B6)*B9+B12*B9+B15+B18)*(1+B21)^0.5</f>
        <v>194116340.30038357</v>
      </c>
      <c r="C24" s="48" t="s">
        <v>22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14</v>
      </c>
      <c r="B26" s="51">
        <f>WACC!B21</f>
        <v>3.5054645841999577E-2</v>
      </c>
      <c r="C26" s="48" t="s">
        <v>17</v>
      </c>
    </row>
    <row r="27" spans="1:3" ht="13.5" thickBot="1" x14ac:dyDescent="0.25">
      <c r="A27" s="24" t="s">
        <v>15</v>
      </c>
      <c r="B27" s="57">
        <v>15</v>
      </c>
      <c r="C27" s="48" t="s">
        <v>19</v>
      </c>
    </row>
    <row r="28" spans="1:3" x14ac:dyDescent="0.2">
      <c r="A28" s="24" t="s">
        <v>85</v>
      </c>
      <c r="B28" s="55">
        <f>-PMT(B26,B27,B24)</f>
        <v>16860715.392532274</v>
      </c>
      <c r="C28" s="48" t="s">
        <v>23</v>
      </c>
    </row>
    <row r="29" spans="1:3" x14ac:dyDescent="0.2">
      <c r="A29" s="26"/>
    </row>
    <row r="30" spans="1:3" x14ac:dyDescent="0.2">
      <c r="A30" s="56" t="s">
        <v>93</v>
      </c>
    </row>
    <row r="31" spans="1:3" x14ac:dyDescent="0.2">
      <c r="A31" s="56" t="s">
        <v>116</v>
      </c>
    </row>
    <row r="37" spans="1:1" x14ac:dyDescent="0.2">
      <c r="A37" s="19" t="s">
        <v>97</v>
      </c>
    </row>
  </sheetData>
  <sheetProtection algorithmName="SHA-512" hashValue="oQGuLFRL2NzKr0qS5KNFaLOaP5A/Yoc/qN3JRnRKfGz8q6RX9HqlxEna6k7Y4RTp6Q71YHhvUE439wuxfoTUvQ==" saltValue="j3rNTjTDOfw/kO4zCe4PcQ==" spinCount="100000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opLeftCell="A112" zoomScale="85" zoomScaleNormal="85" workbookViewId="0">
      <selection activeCell="F131" sqref="F131"/>
    </sheetView>
  </sheetViews>
  <sheetFormatPr defaultColWidth="9.140625"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83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32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74</v>
      </c>
      <c r="B5" s="95"/>
      <c r="C5" s="37"/>
    </row>
    <row r="6" spans="1:5" ht="13.5" thickBot="1" x14ac:dyDescent="0.25">
      <c r="A6" s="11" t="s">
        <v>36</v>
      </c>
      <c r="B6" s="96"/>
      <c r="C6" s="2">
        <v>10457130</v>
      </c>
      <c r="E6" s="19"/>
    </row>
    <row r="7" spans="1:5" ht="13.5" thickBot="1" x14ac:dyDescent="0.25">
      <c r="A7" s="12" t="s">
        <v>34</v>
      </c>
      <c r="B7" s="97"/>
      <c r="C7" s="2">
        <v>10457130</v>
      </c>
      <c r="E7" s="19"/>
    </row>
    <row r="8" spans="1:5" ht="13.5" thickBot="1" x14ac:dyDescent="0.25">
      <c r="A8" s="12" t="s">
        <v>35</v>
      </c>
      <c r="B8" s="97"/>
      <c r="C8" s="2">
        <v>10457130</v>
      </c>
      <c r="E8" s="19"/>
    </row>
    <row r="9" spans="1:5" ht="13.5" thickBot="1" x14ac:dyDescent="0.25">
      <c r="A9" s="28" t="s">
        <v>99</v>
      </c>
      <c r="B9" s="63"/>
      <c r="C9" s="2">
        <v>10457130</v>
      </c>
      <c r="E9" s="19"/>
    </row>
    <row r="10" spans="1:5" ht="13.5" thickBot="1" x14ac:dyDescent="0.25">
      <c r="A10" s="12" t="s">
        <v>37</v>
      </c>
      <c r="B10" s="97"/>
      <c r="C10" s="2">
        <v>10457130</v>
      </c>
      <c r="E10" s="19"/>
    </row>
    <row r="11" spans="1:5" ht="13.5" thickBot="1" x14ac:dyDescent="0.25">
      <c r="A11" s="25" t="s">
        <v>38</v>
      </c>
      <c r="B11" s="97"/>
      <c r="C11" s="2">
        <v>10457130</v>
      </c>
      <c r="E11" s="19"/>
    </row>
    <row r="12" spans="1:5" ht="13.5" thickBot="1" x14ac:dyDescent="0.25">
      <c r="A12" s="12" t="s">
        <v>39</v>
      </c>
      <c r="B12" s="97"/>
      <c r="C12" s="2">
        <v>10457130</v>
      </c>
      <c r="E12" s="19"/>
    </row>
    <row r="13" spans="1:5" ht="13.5" thickBot="1" x14ac:dyDescent="0.25">
      <c r="A13" s="12" t="s">
        <v>40</v>
      </c>
      <c r="B13" s="97"/>
      <c r="C13" s="2">
        <v>10457130</v>
      </c>
      <c r="E13" s="19"/>
    </row>
    <row r="14" spans="1:5" ht="13.5" thickBot="1" x14ac:dyDescent="0.25">
      <c r="A14" s="12" t="s">
        <v>41</v>
      </c>
      <c r="B14" s="97"/>
      <c r="C14" s="2">
        <v>10457130</v>
      </c>
      <c r="E14" s="19"/>
    </row>
    <row r="15" spans="1:5" ht="13.5" thickBot="1" x14ac:dyDescent="0.25">
      <c r="A15" s="13" t="s">
        <v>42</v>
      </c>
      <c r="B15" s="98"/>
      <c r="C15" s="2">
        <v>10457130</v>
      </c>
    </row>
    <row r="16" spans="1:5" ht="13.5" thickBot="1" x14ac:dyDescent="0.25"/>
    <row r="17" spans="1:17" ht="13.5" thickBot="1" x14ac:dyDescent="0.25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48</v>
      </c>
      <c r="B19" s="14"/>
      <c r="C19" s="40">
        <f>C6</f>
        <v>10457130</v>
      </c>
      <c r="D19" s="39">
        <f>C19</f>
        <v>10457130</v>
      </c>
      <c r="E19" s="39">
        <f>D19</f>
        <v>10457130</v>
      </c>
      <c r="F19" s="39">
        <f>E19</f>
        <v>10457130</v>
      </c>
      <c r="G19" s="39">
        <f>F19</f>
        <v>10457130</v>
      </c>
      <c r="H19" s="40">
        <f>C7</f>
        <v>10457130</v>
      </c>
      <c r="I19" s="39">
        <f>H19</f>
        <v>10457130</v>
      </c>
      <c r="J19" s="39">
        <f t="shared" si="1"/>
        <v>10457130</v>
      </c>
      <c r="K19" s="39">
        <f t="shared" si="1"/>
        <v>10457130</v>
      </c>
      <c r="L19" s="39">
        <f t="shared" si="1"/>
        <v>10457130</v>
      </c>
      <c r="M19" s="40">
        <f>C8</f>
        <v>10457130</v>
      </c>
      <c r="N19" s="39">
        <f>M19</f>
        <v>10457130</v>
      </c>
      <c r="O19" s="39">
        <f t="shared" si="1"/>
        <v>10457130</v>
      </c>
      <c r="P19" s="39">
        <f t="shared" si="1"/>
        <v>10457130</v>
      </c>
      <c r="Q19" s="39">
        <f t="shared" si="1"/>
        <v>10457130</v>
      </c>
    </row>
    <row r="20" spans="1:17" x14ac:dyDescent="0.2">
      <c r="A20" s="14" t="s">
        <v>45</v>
      </c>
      <c r="B20" s="14"/>
      <c r="C20" s="39">
        <f>C19/C18</f>
        <v>2091426</v>
      </c>
      <c r="D20" s="39">
        <f t="shared" ref="D20:Q20" si="2">D19/D18</f>
        <v>2091426</v>
      </c>
      <c r="E20" s="39">
        <f t="shared" si="2"/>
        <v>2091426</v>
      </c>
      <c r="F20" s="39">
        <f t="shared" si="2"/>
        <v>2091426</v>
      </c>
      <c r="G20" s="39">
        <f t="shared" si="2"/>
        <v>2091426</v>
      </c>
      <c r="H20" s="39">
        <f t="shared" si="2"/>
        <v>2091426</v>
      </c>
      <c r="I20" s="39">
        <f t="shared" si="2"/>
        <v>2091426</v>
      </c>
      <c r="J20" s="39">
        <f t="shared" si="2"/>
        <v>2091426</v>
      </c>
      <c r="K20" s="39">
        <f t="shared" si="2"/>
        <v>2091426</v>
      </c>
      <c r="L20" s="39">
        <f t="shared" si="2"/>
        <v>2091426</v>
      </c>
      <c r="M20" s="39">
        <f t="shared" si="2"/>
        <v>2091426</v>
      </c>
      <c r="N20" s="39">
        <f t="shared" si="2"/>
        <v>2091426</v>
      </c>
      <c r="O20" s="39">
        <f t="shared" si="2"/>
        <v>2091426</v>
      </c>
      <c r="P20" s="39">
        <f t="shared" si="2"/>
        <v>2091426</v>
      </c>
      <c r="Q20" s="39">
        <f t="shared" si="2"/>
        <v>2091426</v>
      </c>
    </row>
    <row r="21" spans="1:17" x14ac:dyDescent="0.2">
      <c r="A21" s="14" t="s">
        <v>14</v>
      </c>
      <c r="B21" s="14"/>
      <c r="C21" s="41">
        <f>WACC!B21</f>
        <v>3.5054645841999577E-2</v>
      </c>
      <c r="D21" s="41">
        <f>C21</f>
        <v>3.5054645841999577E-2</v>
      </c>
      <c r="E21" s="41">
        <f t="shared" ref="E21:Q21" si="3">D21</f>
        <v>3.5054645841999577E-2</v>
      </c>
      <c r="F21" s="41">
        <f t="shared" si="3"/>
        <v>3.5054645841999577E-2</v>
      </c>
      <c r="G21" s="41">
        <f t="shared" si="3"/>
        <v>3.5054645841999577E-2</v>
      </c>
      <c r="H21" s="41">
        <f t="shared" si="3"/>
        <v>3.5054645841999577E-2</v>
      </c>
      <c r="I21" s="41">
        <f t="shared" si="3"/>
        <v>3.5054645841999577E-2</v>
      </c>
      <c r="J21" s="41">
        <f t="shared" si="3"/>
        <v>3.5054645841999577E-2</v>
      </c>
      <c r="K21" s="41">
        <f t="shared" si="3"/>
        <v>3.5054645841999577E-2</v>
      </c>
      <c r="L21" s="41">
        <f t="shared" si="3"/>
        <v>3.5054645841999577E-2</v>
      </c>
      <c r="M21" s="41">
        <f t="shared" si="3"/>
        <v>3.5054645841999577E-2</v>
      </c>
      <c r="N21" s="41">
        <f t="shared" si="3"/>
        <v>3.5054645841999577E-2</v>
      </c>
      <c r="O21" s="41">
        <f t="shared" si="3"/>
        <v>3.5054645841999577E-2</v>
      </c>
      <c r="P21" s="41">
        <f t="shared" si="3"/>
        <v>3.5054645841999577E-2</v>
      </c>
      <c r="Q21" s="41">
        <f t="shared" si="3"/>
        <v>3.5054645841999577E-2</v>
      </c>
    </row>
    <row r="22" spans="1:17" x14ac:dyDescent="0.2">
      <c r="A22" s="14" t="s">
        <v>46</v>
      </c>
      <c r="B22" s="14"/>
      <c r="C22" s="38">
        <f>C20/(1+C21)^C17</f>
        <v>2020594.7660847027</v>
      </c>
      <c r="D22" s="38">
        <f>D20/(1+D21)^D17</f>
        <v>1952162.4043733294</v>
      </c>
      <c r="E22" s="38">
        <f>E20/(1+E21)^E17</f>
        <v>1886047.6712176658</v>
      </c>
      <c r="F22" s="38">
        <f>F20/(1+F21)^F17</f>
        <v>1822172.0744834661</v>
      </c>
      <c r="G22" s="38">
        <f t="shared" ref="G22:Q22" si="4">G20/(1+G21)^G17</f>
        <v>1760459.7803637313</v>
      </c>
      <c r="H22" s="38">
        <f t="shared" si="4"/>
        <v>1700837.5233479841</v>
      </c>
      <c r="I22" s="38">
        <f t="shared" si="4"/>
        <v>1643234.5192406543</v>
      </c>
      <c r="J22" s="38">
        <f t="shared" si="4"/>
        <v>1587582.3811253081</v>
      </c>
      <c r="K22" s="38">
        <f t="shared" si="4"/>
        <v>1533815.0381749519</v>
      </c>
      <c r="L22" s="38">
        <f t="shared" si="4"/>
        <v>1481868.657212025</v>
      </c>
      <c r="M22" s="38">
        <f t="shared" si="4"/>
        <v>1431681.5669249517</v>
      </c>
      <c r="N22" s="38">
        <f t="shared" si="4"/>
        <v>1383194.1846512875</v>
      </c>
      <c r="O22" s="38">
        <f t="shared" si="4"/>
        <v>1336348.9456405293</v>
      </c>
      <c r="P22" s="38">
        <f t="shared" si="4"/>
        <v>1291090.2347126144</v>
      </c>
      <c r="Q22" s="38">
        <f t="shared" si="4"/>
        <v>1247364.3202309711</v>
      </c>
    </row>
    <row r="23" spans="1:17" x14ac:dyDescent="0.2">
      <c r="A23" s="14" t="s">
        <v>47</v>
      </c>
      <c r="B23" s="14"/>
      <c r="C23" s="42">
        <f>SUM(C22:Q22)</f>
        <v>24078454.067784179</v>
      </c>
      <c r="D23" s="45"/>
    </row>
    <row r="24" spans="1:17" x14ac:dyDescent="0.2">
      <c r="A24" s="14" t="s">
        <v>50</v>
      </c>
      <c r="B24" s="14"/>
      <c r="C24" s="42">
        <f>-PMT(C21,ANNUALISED_CAP_COST!$B$27,C23)</f>
        <v>2091426</v>
      </c>
      <c r="D24" s="45"/>
      <c r="E24" s="19"/>
    </row>
    <row r="25" spans="1:17" ht="13.5" thickBot="1" x14ac:dyDescent="0.25">
      <c r="A25" s="14" t="s">
        <v>67</v>
      </c>
      <c r="B25" s="14"/>
      <c r="C25" s="77" t="s">
        <v>104</v>
      </c>
      <c r="E25" s="19"/>
    </row>
    <row r="26" spans="1:17" s="19" customFormat="1" ht="13.5" thickBot="1" x14ac:dyDescent="0.25">
      <c r="A26" s="20" t="s">
        <v>112</v>
      </c>
      <c r="B26" s="20"/>
      <c r="C26" s="31">
        <v>43646</v>
      </c>
      <c r="D26" s="9"/>
    </row>
    <row r="27" spans="1:17" s="19" customFormat="1" ht="13.5" thickBot="1" x14ac:dyDescent="0.25">
      <c r="A27" s="20" t="s">
        <v>113</v>
      </c>
      <c r="B27" s="20"/>
      <c r="C27" s="32">
        <v>44835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131</v>
      </c>
      <c r="B29" s="92">
        <f>ESCALATION_FACTORS!$B$4</f>
        <v>44012</v>
      </c>
      <c r="C29" s="101">
        <f>VLOOKUP($C$25,ESCALATION_FACTORS!$A$5:$E$9,2,)</f>
        <v>0.04</v>
      </c>
    </row>
    <row r="30" spans="1:17" ht="13.5" thickBot="1" x14ac:dyDescent="0.25">
      <c r="A30" s="20"/>
      <c r="B30" s="92">
        <f>ESCALATION_FACTORS!$C$4</f>
        <v>44377</v>
      </c>
      <c r="C30" s="101">
        <f>VLOOKUP($C$25,ESCALATION_FACTORS!$A$5:$E$9,3,)</f>
        <v>4.0000000000000001E-3</v>
      </c>
    </row>
    <row r="31" spans="1:17" ht="13.5" thickBot="1" x14ac:dyDescent="0.25">
      <c r="A31" s="20"/>
      <c r="B31" s="92">
        <f>ESCALATION_FACTORS!$D$4</f>
        <v>44742</v>
      </c>
      <c r="C31" s="101">
        <f>VLOOKUP($C$25,ESCALATION_FACTORS!$A$5:$E$9,4,)</f>
        <v>1.2999999999999999E-2</v>
      </c>
    </row>
    <row r="32" spans="1:17" ht="13.5" thickBot="1" x14ac:dyDescent="0.25">
      <c r="B32" s="92">
        <f>ESCALATION_FACTORS!$E$4</f>
        <v>45107</v>
      </c>
      <c r="C32" s="101">
        <f>VLOOKUP($C$25,ESCALATION_FACTORS!$A$5:$E$9,5,)</f>
        <v>0.02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14600.489244551365</v>
      </c>
      <c r="D34" s="9" t="s">
        <v>53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33</v>
      </c>
      <c r="B37" s="46"/>
      <c r="C37" s="10"/>
    </row>
    <row r="38" spans="1:5" ht="13.5" thickBot="1" x14ac:dyDescent="0.25"/>
    <row r="39" spans="1:5" ht="13.5" thickBot="1" x14ac:dyDescent="0.25">
      <c r="A39" s="36" t="s">
        <v>73</v>
      </c>
      <c r="B39" s="95"/>
      <c r="C39" s="37"/>
    </row>
    <row r="40" spans="1:5" ht="13.5" thickBot="1" x14ac:dyDescent="0.25">
      <c r="A40" s="12" t="s">
        <v>36</v>
      </c>
      <c r="B40" s="96"/>
      <c r="C40" s="122">
        <v>387270</v>
      </c>
      <c r="E40" s="19"/>
    </row>
    <row r="41" spans="1:5" ht="13.5" thickBot="1" x14ac:dyDescent="0.25">
      <c r="A41" s="12" t="s">
        <v>34</v>
      </c>
      <c r="B41" s="97"/>
      <c r="C41" s="122">
        <v>387270</v>
      </c>
      <c r="E41" s="19"/>
    </row>
    <row r="42" spans="1:5" ht="13.5" thickBot="1" x14ac:dyDescent="0.25">
      <c r="A42" s="12" t="s">
        <v>35</v>
      </c>
      <c r="B42" s="97"/>
      <c r="C42" s="122">
        <v>387270</v>
      </c>
      <c r="E42" s="19"/>
    </row>
    <row r="43" spans="1:5" ht="13.5" thickBot="1" x14ac:dyDescent="0.25">
      <c r="A43" s="12" t="s">
        <v>99</v>
      </c>
      <c r="B43" s="97"/>
      <c r="C43" s="122">
        <v>387270</v>
      </c>
      <c r="E43" s="19"/>
    </row>
    <row r="44" spans="1:5" ht="13.5" thickBot="1" x14ac:dyDescent="0.25">
      <c r="A44" s="12" t="s">
        <v>37</v>
      </c>
      <c r="B44" s="97"/>
      <c r="C44" s="122">
        <v>387270</v>
      </c>
      <c r="E44" s="19"/>
    </row>
    <row r="45" spans="1:5" ht="13.5" thickBot="1" x14ac:dyDescent="0.25">
      <c r="A45" s="12" t="s">
        <v>38</v>
      </c>
      <c r="B45" s="97"/>
      <c r="C45" s="122">
        <v>387270</v>
      </c>
      <c r="E45" s="19"/>
    </row>
    <row r="46" spans="1:5" ht="13.5" thickBot="1" x14ac:dyDescent="0.25">
      <c r="A46" s="12" t="s">
        <v>39</v>
      </c>
      <c r="B46" s="97"/>
      <c r="C46" s="122">
        <v>387270</v>
      </c>
      <c r="E46" s="19"/>
    </row>
    <row r="47" spans="1:5" ht="13.5" thickBot="1" x14ac:dyDescent="0.25">
      <c r="A47" s="12" t="s">
        <v>40</v>
      </c>
      <c r="B47" s="97"/>
      <c r="C47" s="122">
        <v>387270</v>
      </c>
      <c r="E47" s="19"/>
    </row>
    <row r="48" spans="1:5" ht="13.5" thickBot="1" x14ac:dyDescent="0.25">
      <c r="A48" s="12" t="s">
        <v>41</v>
      </c>
      <c r="B48" s="97"/>
      <c r="C48" s="122">
        <v>387270</v>
      </c>
      <c r="E48" s="19"/>
    </row>
    <row r="49" spans="1:17" ht="13.5" thickBot="1" x14ac:dyDescent="0.25">
      <c r="A49" s="13" t="s">
        <v>42</v>
      </c>
      <c r="B49" s="98"/>
      <c r="C49" s="122">
        <v>387270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48</v>
      </c>
      <c r="B53" s="14"/>
      <c r="C53" s="40">
        <f>C40</f>
        <v>387270</v>
      </c>
      <c r="D53" s="39">
        <f>C53</f>
        <v>387270</v>
      </c>
      <c r="E53" s="39">
        <f>D53</f>
        <v>387270</v>
      </c>
      <c r="F53" s="39">
        <f>E53</f>
        <v>387270</v>
      </c>
      <c r="G53" s="39">
        <f>F53</f>
        <v>387270</v>
      </c>
      <c r="H53" s="40">
        <f>C41</f>
        <v>387270</v>
      </c>
      <c r="I53" s="39">
        <f>H53</f>
        <v>387270</v>
      </c>
      <c r="J53" s="39">
        <f t="shared" si="6"/>
        <v>387270</v>
      </c>
      <c r="K53" s="39">
        <f t="shared" si="6"/>
        <v>387270</v>
      </c>
      <c r="L53" s="39">
        <f t="shared" si="6"/>
        <v>387270</v>
      </c>
      <c r="M53" s="40">
        <f>C42</f>
        <v>387270</v>
      </c>
      <c r="N53" s="39">
        <f>M53</f>
        <v>387270</v>
      </c>
      <c r="O53" s="39">
        <f t="shared" si="6"/>
        <v>387270</v>
      </c>
      <c r="P53" s="39">
        <f t="shared" si="6"/>
        <v>387270</v>
      </c>
      <c r="Q53" s="39">
        <f t="shared" si="6"/>
        <v>387270</v>
      </c>
    </row>
    <row r="54" spans="1:17" x14ac:dyDescent="0.2">
      <c r="A54" s="14" t="s">
        <v>45</v>
      </c>
      <c r="B54" s="14"/>
      <c r="C54" s="39">
        <f>C53/C52</f>
        <v>77454</v>
      </c>
      <c r="D54" s="39">
        <f>D53/D52</f>
        <v>77454</v>
      </c>
      <c r="E54" s="39">
        <f t="shared" ref="E54:Q54" si="7">E53/E52</f>
        <v>77454</v>
      </c>
      <c r="F54" s="39">
        <f t="shared" si="7"/>
        <v>77454</v>
      </c>
      <c r="G54" s="39">
        <f t="shared" si="7"/>
        <v>77454</v>
      </c>
      <c r="H54" s="39">
        <f t="shared" si="7"/>
        <v>77454</v>
      </c>
      <c r="I54" s="39">
        <f t="shared" si="7"/>
        <v>77454</v>
      </c>
      <c r="J54" s="39">
        <f t="shared" si="7"/>
        <v>77454</v>
      </c>
      <c r="K54" s="39">
        <f t="shared" si="7"/>
        <v>77454</v>
      </c>
      <c r="L54" s="39">
        <f t="shared" si="7"/>
        <v>77454</v>
      </c>
      <c r="M54" s="39">
        <f t="shared" si="7"/>
        <v>77454</v>
      </c>
      <c r="N54" s="39">
        <f t="shared" si="7"/>
        <v>77454</v>
      </c>
      <c r="O54" s="39">
        <f t="shared" si="7"/>
        <v>77454</v>
      </c>
      <c r="P54" s="39">
        <f t="shared" si="7"/>
        <v>77454</v>
      </c>
      <c r="Q54" s="39">
        <f t="shared" si="7"/>
        <v>77454</v>
      </c>
    </row>
    <row r="55" spans="1:17" x14ac:dyDescent="0.2">
      <c r="A55" s="9" t="s">
        <v>14</v>
      </c>
      <c r="B55" s="14"/>
      <c r="C55" s="41">
        <f>WACC!B21</f>
        <v>3.5054645841999577E-2</v>
      </c>
      <c r="D55" s="41">
        <f>C55</f>
        <v>3.5054645841999577E-2</v>
      </c>
      <c r="E55" s="41">
        <f t="shared" ref="E55:Q55" si="8">D55</f>
        <v>3.5054645841999577E-2</v>
      </c>
      <c r="F55" s="41">
        <f t="shared" si="8"/>
        <v>3.5054645841999577E-2</v>
      </c>
      <c r="G55" s="41">
        <f t="shared" si="8"/>
        <v>3.5054645841999577E-2</v>
      </c>
      <c r="H55" s="41">
        <f t="shared" si="8"/>
        <v>3.5054645841999577E-2</v>
      </c>
      <c r="I55" s="41">
        <f t="shared" si="8"/>
        <v>3.5054645841999577E-2</v>
      </c>
      <c r="J55" s="41">
        <f t="shared" si="8"/>
        <v>3.5054645841999577E-2</v>
      </c>
      <c r="K55" s="41">
        <f t="shared" si="8"/>
        <v>3.5054645841999577E-2</v>
      </c>
      <c r="L55" s="41">
        <f t="shared" si="8"/>
        <v>3.5054645841999577E-2</v>
      </c>
      <c r="M55" s="41">
        <f t="shared" si="8"/>
        <v>3.5054645841999577E-2</v>
      </c>
      <c r="N55" s="41">
        <f t="shared" si="8"/>
        <v>3.5054645841999577E-2</v>
      </c>
      <c r="O55" s="41">
        <f t="shared" si="8"/>
        <v>3.5054645841999577E-2</v>
      </c>
      <c r="P55" s="41">
        <f t="shared" si="8"/>
        <v>3.5054645841999577E-2</v>
      </c>
      <c r="Q55" s="41">
        <f t="shared" si="8"/>
        <v>3.5054645841999577E-2</v>
      </c>
    </row>
    <row r="56" spans="1:17" x14ac:dyDescent="0.2">
      <c r="A56" s="45" t="s">
        <v>46</v>
      </c>
      <c r="B56" s="14"/>
      <c r="C56" s="38">
        <f>C54/(1+C55)^C51</f>
        <v>74830.831696806184</v>
      </c>
      <c r="D56" s="38">
        <f t="shared" ref="D56:Q56" si="9">D54/(1+D55)^D51</f>
        <v>72296.503375367742</v>
      </c>
      <c r="E56" s="38">
        <f t="shared" si="9"/>
        <v>69848.006253385538</v>
      </c>
      <c r="F56" s="38">
        <f t="shared" si="9"/>
        <v>67482.433448299096</v>
      </c>
      <c r="G56" s="38">
        <f t="shared" si="9"/>
        <v>65196.976526203871</v>
      </c>
      <c r="H56" s="38">
        <f t="shared" si="9"/>
        <v>62988.922167647695</v>
      </c>
      <c r="I56" s="38">
        <f t="shared" si="9"/>
        <v>60855.648946348396</v>
      </c>
      <c r="J56" s="38">
        <f t="shared" si="9"/>
        <v>58794.624217007731</v>
      </c>
      <c r="K56" s="38">
        <f t="shared" si="9"/>
        <v>56803.401108527258</v>
      </c>
      <c r="L56" s="38">
        <f t="shared" si="9"/>
        <v>54879.615619056174</v>
      </c>
      <c r="M56" s="38">
        <f t="shared" si="9"/>
        <v>53020.983809422476</v>
      </c>
      <c r="N56" s="38">
        <f t="shared" si="9"/>
        <v>51225.299091615401</v>
      </c>
      <c r="O56" s="38">
        <f t="shared" si="9"/>
        <v>49490.429609099985</v>
      </c>
      <c r="P56" s="38">
        <f t="shared" si="9"/>
        <v>47814.315705853725</v>
      </c>
      <c r="Q56" s="38">
        <f t="shared" si="9"/>
        <v>46194.967481120359</v>
      </c>
    </row>
    <row r="57" spans="1:17" x14ac:dyDescent="0.2">
      <c r="A57" s="14" t="s">
        <v>47</v>
      </c>
      <c r="B57" s="14"/>
      <c r="C57" s="42">
        <f>SUM(C56:Q56)</f>
        <v>891722.95905576157</v>
      </c>
      <c r="D57" s="45"/>
    </row>
    <row r="58" spans="1:17" ht="13.5" thickBot="1" x14ac:dyDescent="0.25">
      <c r="A58" s="14" t="s">
        <v>50</v>
      </c>
      <c r="B58" s="14"/>
      <c r="C58" s="42">
        <f>-PMT(C55,ANNUALISED_CAP_COST!$B$27,C57)</f>
        <v>77453.999999999971</v>
      </c>
      <c r="D58" s="45"/>
    </row>
    <row r="59" spans="1:17" ht="13.5" thickBot="1" x14ac:dyDescent="0.25">
      <c r="A59" s="14" t="s">
        <v>67</v>
      </c>
      <c r="B59" s="14"/>
      <c r="C59" s="16" t="s">
        <v>127</v>
      </c>
      <c r="E59" s="19"/>
    </row>
    <row r="60" spans="1:17" s="19" customFormat="1" ht="13.5" thickBot="1" x14ac:dyDescent="0.25">
      <c r="A60" s="20" t="s">
        <v>112</v>
      </c>
      <c r="B60" s="20"/>
      <c r="C60" s="31">
        <v>43646</v>
      </c>
      <c r="D60" s="9"/>
    </row>
    <row r="61" spans="1:17" s="19" customFormat="1" ht="13.5" thickBot="1" x14ac:dyDescent="0.25">
      <c r="A61" s="20" t="s">
        <v>113</v>
      </c>
      <c r="B61" s="20"/>
      <c r="C61" s="32">
        <v>44835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131</v>
      </c>
      <c r="B63" s="92">
        <f>ESCALATION_FACTORS!$B$4</f>
        <v>44012</v>
      </c>
      <c r="C63" s="101">
        <f>VLOOKUP($C$59,ESCALATION_FACTORS!$A$5:$E$9,2,)</f>
        <v>2.3E-2</v>
      </c>
    </row>
    <row r="64" spans="1:17" s="19" customFormat="1" ht="13.5" thickBot="1" x14ac:dyDescent="0.25">
      <c r="A64" s="20"/>
      <c r="B64" s="92">
        <f>ESCALATION_FACTORS!$C$4</f>
        <v>44377</v>
      </c>
      <c r="C64" s="101">
        <f>VLOOKUP($C$59,ESCALATION_FACTORS!$A$5:$E$9,3,)</f>
        <v>0.02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44742</v>
      </c>
      <c r="C65" s="101">
        <f>VLOOKUP($C$59,ESCALATION_FACTORS!$A$5:$E$9,4,)</f>
        <v>1.7999999999999999E-2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45107</v>
      </c>
      <c r="C66" s="101">
        <f>VLOOKUP($C$59,ESCALATION_FACTORS!$A$5:$E$9,5,)</f>
        <v>2.5999999999999999E-2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543.83211812581203</v>
      </c>
      <c r="D68" s="9" t="s">
        <v>53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72</v>
      </c>
      <c r="B71" s="95"/>
      <c r="C71" s="37"/>
    </row>
    <row r="72" spans="1:5" ht="13.5" thickBot="1" x14ac:dyDescent="0.25">
      <c r="A72" s="11" t="s">
        <v>36</v>
      </c>
      <c r="B72" s="96"/>
      <c r="C72" s="122">
        <v>24175</v>
      </c>
      <c r="E72" s="19"/>
    </row>
    <row r="73" spans="1:5" ht="13.5" thickBot="1" x14ac:dyDescent="0.25">
      <c r="A73" s="12" t="s">
        <v>34</v>
      </c>
      <c r="B73" s="97"/>
      <c r="C73" s="122">
        <v>24175</v>
      </c>
      <c r="E73" s="19"/>
    </row>
    <row r="74" spans="1:5" ht="13.5" thickBot="1" x14ac:dyDescent="0.25">
      <c r="A74" s="12" t="s">
        <v>35</v>
      </c>
      <c r="B74" s="97"/>
      <c r="C74" s="122">
        <v>24175</v>
      </c>
      <c r="E74" s="19"/>
    </row>
    <row r="75" spans="1:5" ht="13.5" thickBot="1" x14ac:dyDescent="0.25">
      <c r="A75" s="12" t="s">
        <v>99</v>
      </c>
      <c r="B75" s="97"/>
      <c r="C75" s="122">
        <v>24175</v>
      </c>
      <c r="E75" s="19"/>
    </row>
    <row r="76" spans="1:5" ht="13.5" thickBot="1" x14ac:dyDescent="0.25">
      <c r="A76" s="12" t="s">
        <v>37</v>
      </c>
      <c r="B76" s="97"/>
      <c r="C76" s="122">
        <v>24175</v>
      </c>
      <c r="E76" s="19"/>
    </row>
    <row r="77" spans="1:5" ht="13.5" thickBot="1" x14ac:dyDescent="0.25">
      <c r="A77" s="12" t="s">
        <v>38</v>
      </c>
      <c r="B77" s="97"/>
      <c r="C77" s="122">
        <v>24175</v>
      </c>
      <c r="E77" s="19"/>
    </row>
    <row r="78" spans="1:5" ht="13.5" thickBot="1" x14ac:dyDescent="0.25">
      <c r="A78" s="12" t="s">
        <v>39</v>
      </c>
      <c r="B78" s="97"/>
      <c r="C78" s="122">
        <v>24175</v>
      </c>
      <c r="E78" s="19"/>
    </row>
    <row r="79" spans="1:5" ht="13.5" thickBot="1" x14ac:dyDescent="0.25">
      <c r="A79" s="12" t="s">
        <v>40</v>
      </c>
      <c r="B79" s="97"/>
      <c r="C79" s="122">
        <v>24175</v>
      </c>
      <c r="E79" s="19"/>
    </row>
    <row r="80" spans="1:5" ht="13.5" thickBot="1" x14ac:dyDescent="0.25">
      <c r="A80" s="12" t="s">
        <v>41</v>
      </c>
      <c r="B80" s="97"/>
      <c r="C80" s="122">
        <v>24175</v>
      </c>
      <c r="E80" s="19"/>
    </row>
    <row r="81" spans="1:17" ht="13.5" thickBot="1" x14ac:dyDescent="0.25">
      <c r="A81" s="12" t="s">
        <v>42</v>
      </c>
      <c r="B81" s="97"/>
      <c r="C81" s="122">
        <v>24175</v>
      </c>
      <c r="E81" s="19"/>
    </row>
    <row r="82" spans="1:17" ht="13.5" thickBot="1" x14ac:dyDescent="0.25">
      <c r="A82" s="12" t="s">
        <v>51</v>
      </c>
      <c r="B82" s="97"/>
      <c r="C82" s="122">
        <v>24175</v>
      </c>
      <c r="E82" s="19"/>
    </row>
    <row r="83" spans="1:17" ht="13.5" thickBot="1" x14ac:dyDescent="0.25">
      <c r="A83" s="13" t="s">
        <v>52</v>
      </c>
      <c r="B83" s="98"/>
      <c r="C83" s="122">
        <v>24175</v>
      </c>
      <c r="E83" s="19"/>
    </row>
    <row r="84" spans="1:17" ht="13.5" thickBot="1" x14ac:dyDescent="0.25"/>
    <row r="85" spans="1:17" ht="13.5" thickBot="1" x14ac:dyDescent="0.25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48</v>
      </c>
      <c r="B87" s="14"/>
      <c r="C87" s="40">
        <f>C72</f>
        <v>24175</v>
      </c>
      <c r="D87" s="39">
        <f>C87</f>
        <v>24175</v>
      </c>
      <c r="E87" s="39">
        <f>D87</f>
        <v>24175</v>
      </c>
      <c r="F87" s="39">
        <f>E87</f>
        <v>24175</v>
      </c>
      <c r="G87" s="39">
        <f>F87</f>
        <v>24175</v>
      </c>
      <c r="H87" s="39">
        <f>C73</f>
        <v>24175</v>
      </c>
      <c r="I87" s="39">
        <f>H87</f>
        <v>24175</v>
      </c>
      <c r="J87" s="39">
        <f t="shared" si="11"/>
        <v>24175</v>
      </c>
      <c r="K87" s="39">
        <f t="shared" si="11"/>
        <v>24175</v>
      </c>
      <c r="L87" s="39">
        <f t="shared" si="11"/>
        <v>24175</v>
      </c>
      <c r="M87" s="39">
        <f>C74</f>
        <v>24175</v>
      </c>
      <c r="N87" s="39">
        <f>M87</f>
        <v>24175</v>
      </c>
      <c r="O87" s="39">
        <f t="shared" si="11"/>
        <v>24175</v>
      </c>
      <c r="P87" s="39">
        <f t="shared" si="11"/>
        <v>24175</v>
      </c>
      <c r="Q87" s="39">
        <f t="shared" si="11"/>
        <v>24175</v>
      </c>
    </row>
    <row r="88" spans="1:17" x14ac:dyDescent="0.2">
      <c r="A88" s="14" t="s">
        <v>45</v>
      </c>
      <c r="B88" s="14"/>
      <c r="C88" s="39">
        <f>C87/C86</f>
        <v>4835</v>
      </c>
      <c r="D88" s="39">
        <f t="shared" ref="D88:Q88" si="12">D87/D86</f>
        <v>4835</v>
      </c>
      <c r="E88" s="39">
        <f>E87/E86</f>
        <v>4835</v>
      </c>
      <c r="F88" s="39">
        <f t="shared" si="12"/>
        <v>4835</v>
      </c>
      <c r="G88" s="39">
        <f t="shared" si="12"/>
        <v>4835</v>
      </c>
      <c r="H88" s="39">
        <f t="shared" si="12"/>
        <v>4835</v>
      </c>
      <c r="I88" s="39">
        <f t="shared" si="12"/>
        <v>4835</v>
      </c>
      <c r="J88" s="39">
        <f t="shared" si="12"/>
        <v>4835</v>
      </c>
      <c r="K88" s="39">
        <f t="shared" si="12"/>
        <v>4835</v>
      </c>
      <c r="L88" s="39">
        <f t="shared" si="12"/>
        <v>4835</v>
      </c>
      <c r="M88" s="39">
        <f t="shared" si="12"/>
        <v>4835</v>
      </c>
      <c r="N88" s="39">
        <f t="shared" si="12"/>
        <v>4835</v>
      </c>
      <c r="O88" s="39">
        <f t="shared" si="12"/>
        <v>4835</v>
      </c>
      <c r="P88" s="39">
        <f t="shared" si="12"/>
        <v>4835</v>
      </c>
      <c r="Q88" s="39">
        <f t="shared" si="12"/>
        <v>4835</v>
      </c>
    </row>
    <row r="89" spans="1:17" x14ac:dyDescent="0.2">
      <c r="A89" s="14" t="s">
        <v>14</v>
      </c>
      <c r="B89" s="14"/>
      <c r="C89" s="41">
        <f>WACC!B21</f>
        <v>3.5054645841999577E-2</v>
      </c>
      <c r="D89" s="41">
        <f>C89</f>
        <v>3.5054645841999577E-2</v>
      </c>
      <c r="E89" s="41">
        <f t="shared" ref="E89:Q89" si="13">D89</f>
        <v>3.5054645841999577E-2</v>
      </c>
      <c r="F89" s="41">
        <f t="shared" si="13"/>
        <v>3.5054645841999577E-2</v>
      </c>
      <c r="G89" s="41">
        <f t="shared" si="13"/>
        <v>3.5054645841999577E-2</v>
      </c>
      <c r="H89" s="41">
        <f t="shared" si="13"/>
        <v>3.5054645841999577E-2</v>
      </c>
      <c r="I89" s="41">
        <f t="shared" si="13"/>
        <v>3.5054645841999577E-2</v>
      </c>
      <c r="J89" s="41">
        <f t="shared" si="13"/>
        <v>3.5054645841999577E-2</v>
      </c>
      <c r="K89" s="41">
        <f t="shared" si="13"/>
        <v>3.5054645841999577E-2</v>
      </c>
      <c r="L89" s="41">
        <f t="shared" si="13"/>
        <v>3.5054645841999577E-2</v>
      </c>
      <c r="M89" s="41">
        <f t="shared" si="13"/>
        <v>3.5054645841999577E-2</v>
      </c>
      <c r="N89" s="41">
        <f t="shared" si="13"/>
        <v>3.5054645841999577E-2</v>
      </c>
      <c r="O89" s="41">
        <f t="shared" si="13"/>
        <v>3.5054645841999577E-2</v>
      </c>
      <c r="P89" s="41">
        <f t="shared" si="13"/>
        <v>3.5054645841999577E-2</v>
      </c>
      <c r="Q89" s="41">
        <f t="shared" si="13"/>
        <v>3.5054645841999577E-2</v>
      </c>
    </row>
    <row r="90" spans="1:17" x14ac:dyDescent="0.2">
      <c r="A90" s="14" t="s">
        <v>46</v>
      </c>
      <c r="B90" s="14"/>
      <c r="C90" s="38">
        <f>C88/(1+C89)^C85</f>
        <v>4671.2509522304581</v>
      </c>
      <c r="D90" s="38">
        <f>D88/(1+D89)^D85</f>
        <v>4513.0476646771376</v>
      </c>
      <c r="E90" s="38">
        <f>E88/(1+E89)^E85</f>
        <v>4360.2023166669123</v>
      </c>
      <c r="F90" s="38">
        <f t="shared" ref="F90:Q90" si="14">F88/(1+F89)^F85</f>
        <v>4212.5334485310786</v>
      </c>
      <c r="G90" s="38">
        <f t="shared" si="14"/>
        <v>4069.8657461744483</v>
      </c>
      <c r="H90" s="38">
        <f t="shared" si="14"/>
        <v>3932.0298329405405</v>
      </c>
      <c r="I90" s="38">
        <f t="shared" si="14"/>
        <v>3798.8620685257633</v>
      </c>
      <c r="J90" s="38">
        <f t="shared" si="14"/>
        <v>3670.2043547038552</v>
      </c>
      <c r="K90" s="38">
        <f t="shared" si="14"/>
        <v>3545.903947629939</v>
      </c>
      <c r="L90" s="38">
        <f t="shared" si="14"/>
        <v>3425.8132765013634</v>
      </c>
      <c r="M90" s="38">
        <f t="shared" si="14"/>
        <v>3309.789768360029</v>
      </c>
      <c r="N90" s="38">
        <f t="shared" si="14"/>
        <v>3197.6956788282137</v>
      </c>
      <c r="O90" s="38">
        <f t="shared" si="14"/>
        <v>3089.3979285769419</v>
      </c>
      <c r="P90" s="38">
        <f t="shared" si="14"/>
        <v>2984.7679453327496</v>
      </c>
      <c r="Q90" s="38">
        <f t="shared" si="14"/>
        <v>2883.6815112352742</v>
      </c>
    </row>
    <row r="91" spans="1:17" x14ac:dyDescent="0.2">
      <c r="A91" s="14" t="s">
        <v>47</v>
      </c>
      <c r="B91" s="14"/>
      <c r="C91" s="42">
        <f>SUM(C90:Q90)</f>
        <v>55665.046440914695</v>
      </c>
      <c r="D91" s="45"/>
    </row>
    <row r="92" spans="1:17" ht="13.5" thickBot="1" x14ac:dyDescent="0.25">
      <c r="A92" s="14" t="s">
        <v>50</v>
      </c>
      <c r="B92" s="14"/>
      <c r="C92" s="42">
        <f>-PMT(C89,ANNUALISED_CAP_COST!$B$27,C91)</f>
        <v>4834.9999999999991</v>
      </c>
      <c r="D92" s="45"/>
    </row>
    <row r="93" spans="1:17" ht="13.5" thickBot="1" x14ac:dyDescent="0.25">
      <c r="A93" s="14" t="s">
        <v>67</v>
      </c>
      <c r="B93" s="14"/>
      <c r="C93" s="16" t="s">
        <v>127</v>
      </c>
      <c r="E93" s="19"/>
    </row>
    <row r="94" spans="1:17" s="19" customFormat="1" ht="13.5" thickBot="1" x14ac:dyDescent="0.25">
      <c r="A94" s="20" t="s">
        <v>112</v>
      </c>
      <c r="B94" s="20"/>
      <c r="C94" s="31">
        <v>43646</v>
      </c>
      <c r="D94" s="9"/>
    </row>
    <row r="95" spans="1:17" s="19" customFormat="1" ht="13.5" thickBot="1" x14ac:dyDescent="0.25">
      <c r="A95" s="20" t="s">
        <v>113</v>
      </c>
      <c r="B95" s="20"/>
      <c r="C95" s="32">
        <v>44835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131</v>
      </c>
      <c r="B97" s="92">
        <f>ESCALATION_FACTORS!$B$4</f>
        <v>44012</v>
      </c>
      <c r="C97" s="101">
        <f>VLOOKUP($C$93,ESCALATION_FACTORS!$A$5:$E$9,2,)</f>
        <v>2.3E-2</v>
      </c>
    </row>
    <row r="98" spans="1:11" s="19" customFormat="1" ht="13.5" thickBot="1" x14ac:dyDescent="0.25">
      <c r="A98" s="20"/>
      <c r="B98" s="92">
        <f>ESCALATION_FACTORS!$C$4</f>
        <v>44377</v>
      </c>
      <c r="C98" s="101">
        <f>VLOOKUP($C$93,ESCALATION_FACTORS!$A$5:$E$9,3,)</f>
        <v>0.02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44742</v>
      </c>
      <c r="C99" s="101">
        <f>VLOOKUP($C$93,ESCALATION_FACTORS!$A$5:$E$9,4,)</f>
        <v>1.7999999999999999E-2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45107</v>
      </c>
      <c r="C100" s="101">
        <f>VLOOKUP($C$93,ESCALATION_FACTORS!$A$5:$E$9,5,)</f>
        <v>2.5999999999999999E-2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33.948256915566674</v>
      </c>
      <c r="D102" s="9" t="s">
        <v>53</v>
      </c>
      <c r="K102" s="17"/>
    </row>
    <row r="103" spans="1:11" x14ac:dyDescent="0.2">
      <c r="K103" s="108"/>
    </row>
    <row r="104" spans="1:11" ht="13.5" thickBot="1" x14ac:dyDescent="0.25"/>
    <row r="105" spans="1:11" ht="18.75" thickBot="1" x14ac:dyDescent="0.3">
      <c r="A105" s="46" t="s">
        <v>106</v>
      </c>
      <c r="B105" s="46"/>
      <c r="C105" s="10"/>
    </row>
    <row r="106" spans="1:11" ht="13.5" thickBot="1" x14ac:dyDescent="0.25">
      <c r="A106" s="23" t="s">
        <v>146</v>
      </c>
      <c r="B106" s="87">
        <f>(PC!C16*(1+M!B3)*PC!C4)</f>
        <v>153372689.64924833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142</v>
      </c>
      <c r="B107" s="152">
        <f>FFC!C18</f>
        <v>7213563.7996095791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141</v>
      </c>
      <c r="B108" s="144">
        <v>2.8800000000000002E-3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139</v>
      </c>
      <c r="B109" s="145">
        <f>1/(1-0.026)</f>
        <v>1.0266940451745381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5" thickBot="1" x14ac:dyDescent="0.25">
      <c r="A111" s="106" t="s">
        <v>124</v>
      </c>
      <c r="B111" s="153"/>
      <c r="C111" s="43">
        <f>(B106+B107)*B108*B109*B110</f>
        <v>522317.50608417043</v>
      </c>
      <c r="E111" s="19"/>
      <c r="G111" s="64"/>
    </row>
    <row r="112" spans="1:11" s="25" customFormat="1" ht="13.5" thickBot="1" x14ac:dyDescent="0.25">
      <c r="A112" s="148" t="s">
        <v>165</v>
      </c>
      <c r="B112" s="146">
        <v>141900</v>
      </c>
      <c r="C112" s="107"/>
      <c r="D112" s="112">
        <f>BRCP_Calculation!B3</f>
        <v>141889.81248185132</v>
      </c>
      <c r="E112" s="107" t="b">
        <f>(ROUND(B112,-2))=(ROUND(D112,-2))</f>
        <v>1</v>
      </c>
      <c r="F112" s="107"/>
      <c r="G112" s="107"/>
    </row>
    <row r="113" spans="1:5" ht="13.5" thickBot="1" x14ac:dyDescent="0.25">
      <c r="A113" s="106" t="s">
        <v>126</v>
      </c>
      <c r="B113" s="129"/>
      <c r="C113" s="43">
        <f>(2*B112*PC!C4)*B108*B109*B110</f>
        <v>140566.38475564684</v>
      </c>
      <c r="E113" s="19"/>
    </row>
    <row r="114" spans="1:5" ht="13.5" thickBot="1" x14ac:dyDescent="0.25">
      <c r="A114" s="106" t="s">
        <v>125</v>
      </c>
      <c r="B114" s="122">
        <v>121000</v>
      </c>
      <c r="D114" s="14"/>
      <c r="E114" s="26"/>
    </row>
    <row r="115" spans="1:5" ht="13.5" thickBot="1" x14ac:dyDescent="0.25">
      <c r="A115" s="118" t="s">
        <v>147</v>
      </c>
      <c r="B115" s="122">
        <v>20000</v>
      </c>
      <c r="C115" s="43">
        <f>IF(AND(C119&gt;=B123,C119&lt;=B124),(B114+B115)*(1+C122)*(1+C123)*(1+C124)^((C119-B123)/(B124-B123)),NA())</f>
        <v>148810.74241250847</v>
      </c>
      <c r="D115" s="14"/>
      <c r="E115" s="150"/>
    </row>
    <row r="116" spans="1:5" ht="13.5" thickBot="1" x14ac:dyDescent="0.25">
      <c r="A116" s="20" t="s">
        <v>107</v>
      </c>
      <c r="B116" s="20"/>
      <c r="C116" s="43">
        <f>SUM(C111:C115)</f>
        <v>811694.6332523257</v>
      </c>
      <c r="D116" s="14"/>
      <c r="E116" s="14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67</v>
      </c>
      <c r="B118" s="20"/>
      <c r="C118" s="16" t="s">
        <v>66</v>
      </c>
      <c r="D118" s="24"/>
      <c r="E118" s="19"/>
    </row>
    <row r="119" spans="1:5" s="19" customFormat="1" ht="13.5" thickBot="1" x14ac:dyDescent="0.25">
      <c r="A119" s="20" t="s">
        <v>112</v>
      </c>
      <c r="B119" s="20"/>
      <c r="C119" s="31">
        <v>44652</v>
      </c>
      <c r="D119" s="109"/>
    </row>
    <row r="120" spans="1:5" s="19" customFormat="1" ht="13.5" thickBot="1" x14ac:dyDescent="0.25">
      <c r="A120" s="20" t="s">
        <v>113</v>
      </c>
      <c r="B120" s="20"/>
      <c r="C120" s="32">
        <v>44835</v>
      </c>
      <c r="D120" s="109"/>
    </row>
    <row r="121" spans="1:5" ht="13.5" thickBot="1" x14ac:dyDescent="0.25">
      <c r="D121" s="20"/>
      <c r="E121" s="20"/>
    </row>
    <row r="122" spans="1:5" ht="13.5" thickBot="1" x14ac:dyDescent="0.25">
      <c r="A122" s="14" t="s">
        <v>131</v>
      </c>
      <c r="B122" s="92">
        <f>ESCALATION_FACTORS!$B$4</f>
        <v>44012</v>
      </c>
      <c r="C122" s="101">
        <f>VLOOKUP($C$118,ESCALATION_FACTORS!$A$5:$E$9,2,)</f>
        <v>1.7500000000000002E-2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44377</v>
      </c>
      <c r="C123" s="101">
        <f>VLOOKUP($C$118,ESCALATION_FACTORS!$A$5:$E$9,3,)</f>
        <v>0.02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44742</v>
      </c>
      <c r="C124" s="101">
        <f>VLOOKUP($C$118,ESCALATION_FACTORS!$A$5:$E$9,4,)</f>
        <v>2.2499999999999999E-2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45107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5393.4284803121845</v>
      </c>
      <c r="D127" s="9" t="s">
        <v>53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105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69</v>
      </c>
      <c r="B132" s="21" t="s">
        <v>143</v>
      </c>
      <c r="C132" s="22"/>
      <c r="E132" s="19"/>
    </row>
    <row r="133" spans="1:6" ht="13.5" thickBot="1" x14ac:dyDescent="0.25">
      <c r="A133" s="23" t="s">
        <v>76</v>
      </c>
      <c r="B133" s="121">
        <v>2.0899999999999998E-3</v>
      </c>
      <c r="C133" s="44">
        <f>B133*PC!$C$4*1000*365</f>
        <v>116166.798</v>
      </c>
      <c r="D133" s="14"/>
      <c r="E133" s="19"/>
    </row>
    <row r="134" spans="1:6" ht="13.5" thickBot="1" x14ac:dyDescent="0.25">
      <c r="A134" s="23" t="s">
        <v>77</v>
      </c>
      <c r="B134" s="121">
        <v>10.11758</v>
      </c>
      <c r="C134" s="99">
        <f>B134*365</f>
        <v>3692.9167000000002</v>
      </c>
      <c r="E134" s="19"/>
    </row>
    <row r="135" spans="1:6" ht="13.5" thickBot="1" x14ac:dyDescent="0.25">
      <c r="A135" s="23" t="s">
        <v>75</v>
      </c>
      <c r="B135" s="121">
        <v>2.503E-2</v>
      </c>
      <c r="C135" s="40">
        <f>B135*PC!$C$4*1000*365</f>
        <v>1391222.466</v>
      </c>
      <c r="D135" s="19"/>
      <c r="E135" s="19"/>
    </row>
    <row r="136" spans="1:6" ht="13.5" thickBot="1" x14ac:dyDescent="0.25">
      <c r="A136" s="20" t="s">
        <v>70</v>
      </c>
      <c r="C136" s="100">
        <f>SUM(C133:C135)</f>
        <v>1511082.1806999999</v>
      </c>
      <c r="D136" s="19"/>
      <c r="E136" s="19"/>
      <c r="F136" s="102"/>
    </row>
    <row r="137" spans="1:6" ht="13.5" thickBot="1" x14ac:dyDescent="0.25">
      <c r="A137" s="24" t="s">
        <v>67</v>
      </c>
      <c r="B137" s="20"/>
      <c r="C137" s="33" t="s">
        <v>66</v>
      </c>
      <c r="D137" s="19"/>
      <c r="E137" s="19"/>
    </row>
    <row r="138" spans="1:6" s="19" customFormat="1" ht="13.5" thickBot="1" x14ac:dyDescent="0.25">
      <c r="A138" s="20" t="s">
        <v>112</v>
      </c>
      <c r="B138" s="20"/>
      <c r="C138" s="31">
        <v>43647</v>
      </c>
    </row>
    <row r="139" spans="1:6" s="19" customFormat="1" ht="13.5" thickBot="1" x14ac:dyDescent="0.25">
      <c r="A139" s="20" t="s">
        <v>113</v>
      </c>
      <c r="B139" s="20"/>
      <c r="C139" s="32">
        <v>44835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131</v>
      </c>
      <c r="B141" s="92">
        <f>ESCALATION_FACTORS!$B$4</f>
        <v>44012</v>
      </c>
      <c r="C141" s="101">
        <f>VLOOKUP($C$137,ESCALATION_FACTORS!$A$5:$E$9,2,)</f>
        <v>1.7500000000000002E-2</v>
      </c>
      <c r="E141" s="19"/>
    </row>
    <row r="142" spans="1:6" s="19" customFormat="1" ht="13.5" thickBot="1" x14ac:dyDescent="0.25">
      <c r="A142" s="20"/>
      <c r="B142" s="92">
        <f>ESCALATION_FACTORS!$C$4</f>
        <v>44377</v>
      </c>
      <c r="C142" s="101">
        <f>VLOOKUP($C$137,ESCALATION_FACTORS!$A$5:$E$9,3,)</f>
        <v>0.02</v>
      </c>
      <c r="D142" s="20"/>
    </row>
    <row r="143" spans="1:6" s="19" customFormat="1" ht="13.5" thickBot="1" x14ac:dyDescent="0.25">
      <c r="A143" s="20"/>
      <c r="B143" s="92">
        <f>ESCALATION_FACTORS!$D$4</f>
        <v>44742</v>
      </c>
      <c r="C143" s="101">
        <f>VLOOKUP($C$137,ESCALATION_FACTORS!$A$5:$E$9,4,)</f>
        <v>2.2499999999999999E-2</v>
      </c>
      <c r="D143" s="20"/>
    </row>
    <row r="144" spans="1:6" s="19" customFormat="1" ht="13.5" thickBot="1" x14ac:dyDescent="0.25">
      <c r="A144" s="9"/>
      <c r="B144" s="92">
        <f>ESCALATION_FACTORS!$E$4</f>
        <v>45107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10596.316427308388</v>
      </c>
      <c r="D146" s="9" t="s">
        <v>53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66" t="s">
        <v>83</v>
      </c>
      <c r="B149" s="167"/>
      <c r="C149" s="35">
        <f>SUM($C102,$C68,$C34,$C127,C146)</f>
        <v>31168.014527213316</v>
      </c>
    </row>
    <row r="150" spans="1:4" x14ac:dyDescent="0.2">
      <c r="A150" s="24"/>
      <c r="B150" s="24"/>
    </row>
  </sheetData>
  <sheetProtection algorithmName="SHA-512" hashValue="yvyb1gWjhtGZ+j+d4b7eQaoCgq38PPi/u9hX1JqgY0tD5hYoElEY0n9qrKnE3sBa0hNAd9c68M+qEYrgGBFgjw==" saltValue="x6zTvwDrzugYXV4xOx35bg==" spinCount="100000" sheet="1" autoFilter="0"/>
  <mergeCells count="1">
    <mergeCell ref="A149:B149"/>
  </mergeCells>
  <phoneticPr fontId="4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C36" sqref="C36"/>
    </sheetView>
  </sheetViews>
  <sheetFormatPr defaultColWidth="9.140625"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1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5" thickBot="1" x14ac:dyDescent="0.25">
      <c r="A4" s="80" t="s">
        <v>11</v>
      </c>
      <c r="B4" s="80" t="s">
        <v>94</v>
      </c>
      <c r="C4" s="142">
        <v>0.98</v>
      </c>
      <c r="D4" s="23">
        <f>C4/100</f>
        <v>9.7999999999999997E-3</v>
      </c>
      <c r="E4" s="23"/>
      <c r="F4" s="26"/>
    </row>
    <row r="5" spans="1:6" ht="13.5" thickBot="1" x14ac:dyDescent="0.25">
      <c r="A5" s="80" t="s">
        <v>4</v>
      </c>
      <c r="B5" s="80" t="s">
        <v>94</v>
      </c>
      <c r="C5" s="121">
        <v>2.36</v>
      </c>
      <c r="D5" s="23">
        <f>C5/100</f>
        <v>2.3599999999999999E-2</v>
      </c>
      <c r="E5" s="23"/>
      <c r="F5" s="26"/>
    </row>
    <row r="6" spans="1:6" ht="13.5" thickBot="1" x14ac:dyDescent="0.25">
      <c r="A6" s="80" t="s">
        <v>5</v>
      </c>
      <c r="B6" s="80" t="s">
        <v>94</v>
      </c>
      <c r="C6" s="142">
        <f>((1+C4/100)/(1+C5/100)-1)*100</f>
        <v>-1.348182883939042</v>
      </c>
      <c r="D6" s="23">
        <f>C6/100</f>
        <v>-1.348182883939042E-2</v>
      </c>
      <c r="E6" s="23"/>
      <c r="F6" s="26"/>
    </row>
    <row r="7" spans="1:6" ht="13.5" thickBot="1" x14ac:dyDescent="0.25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96</v>
      </c>
      <c r="B10" s="23" t="s">
        <v>94</v>
      </c>
      <c r="C10" s="121">
        <v>2.23</v>
      </c>
      <c r="D10" s="23">
        <f>C10/100</f>
        <v>2.23E-2</v>
      </c>
      <c r="E10" s="23"/>
      <c r="F10" s="26"/>
    </row>
    <row r="11" spans="1:6" ht="13.5" thickBot="1" x14ac:dyDescent="0.25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26</v>
      </c>
      <c r="B17" s="83">
        <f>D4+D10+D11</f>
        <v>3.3350000000000005E-2</v>
      </c>
      <c r="E17" s="23"/>
    </row>
    <row r="18" spans="1:5" ht="13.5" thickBot="1" x14ac:dyDescent="0.25">
      <c r="A18" s="82" t="s">
        <v>25</v>
      </c>
      <c r="B18" s="84">
        <f>D4+(D9*D7)</f>
        <v>5.96E-2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28</v>
      </c>
      <c r="B20" s="84">
        <f>((1/(1-D12*(1-D13)))*(B18*D15))+(B17*D14)</f>
        <v>5.9481935483870971E-2</v>
      </c>
      <c r="E20" s="23"/>
    </row>
    <row r="21" spans="1:5" ht="13.5" thickBot="1" x14ac:dyDescent="0.25">
      <c r="A21" s="24" t="s">
        <v>27</v>
      </c>
      <c r="B21" s="85">
        <f>((1+B20)/(1+D5))-1</f>
        <v>3.5054645841999577E-2</v>
      </c>
      <c r="E21" s="23"/>
    </row>
    <row r="24" spans="1:5" x14ac:dyDescent="0.2">
      <c r="C24" s="26"/>
    </row>
  </sheetData>
  <sheetProtection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C3" sqref="C3"/>
    </sheetView>
  </sheetViews>
  <sheetFormatPr defaultColWidth="9.140625"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6" width="9.140625" style="9"/>
    <col min="7" max="7" width="10.140625" style="9" bestFit="1" customWidth="1"/>
    <col min="8" max="16384" width="9.140625" style="9"/>
  </cols>
  <sheetData>
    <row r="1" spans="1:8" s="8" customFormat="1" ht="18.75" thickBot="1" x14ac:dyDescent="0.3">
      <c r="A1" s="6" t="s">
        <v>88</v>
      </c>
      <c r="B1" s="46"/>
      <c r="C1" s="7"/>
    </row>
    <row r="2" spans="1:8" ht="13.5" thickBot="1" x14ac:dyDescent="0.25">
      <c r="E2" s="19"/>
    </row>
    <row r="3" spans="1:8" ht="13.5" thickBot="1" x14ac:dyDescent="0.25">
      <c r="A3" s="131" t="s">
        <v>160</v>
      </c>
      <c r="C3" s="2">
        <v>128074500</v>
      </c>
      <c r="E3" s="19"/>
    </row>
    <row r="4" spans="1:8" ht="13.5" thickBot="1" x14ac:dyDescent="0.25">
      <c r="A4" s="9" t="s">
        <v>29</v>
      </c>
      <c r="C4" s="141">
        <v>152.28</v>
      </c>
      <c r="D4" s="64"/>
      <c r="E4" s="19"/>
    </row>
    <row r="5" spans="1:8" ht="13.5" thickBot="1" x14ac:dyDescent="0.25">
      <c r="C5" s="25"/>
      <c r="E5" s="19"/>
    </row>
    <row r="6" spans="1:8" ht="13.5" thickBot="1" x14ac:dyDescent="0.25">
      <c r="A6" s="9" t="s">
        <v>30</v>
      </c>
      <c r="C6" s="43">
        <f>C3/C4</f>
        <v>841046.09929078014</v>
      </c>
      <c r="E6" s="19"/>
    </row>
    <row r="7" spans="1:8" ht="13.5" thickBot="1" x14ac:dyDescent="0.25">
      <c r="C7" s="25"/>
      <c r="E7" s="19"/>
    </row>
    <row r="8" spans="1:8" ht="13.5" thickBot="1" x14ac:dyDescent="0.25">
      <c r="A8" s="9" t="s">
        <v>67</v>
      </c>
      <c r="C8" s="33" t="s">
        <v>82</v>
      </c>
      <c r="E8" s="19"/>
    </row>
    <row r="9" spans="1:8" s="19" customFormat="1" ht="13.5" thickBot="1" x14ac:dyDescent="0.25">
      <c r="A9" s="20" t="s">
        <v>112</v>
      </c>
      <c r="B9" s="20"/>
      <c r="C9" s="31">
        <v>43646</v>
      </c>
    </row>
    <row r="10" spans="1:8" s="19" customFormat="1" ht="13.5" thickBot="1" x14ac:dyDescent="0.25">
      <c r="A10" s="20" t="s">
        <v>113</v>
      </c>
      <c r="B10" s="20"/>
      <c r="C10" s="32">
        <v>44652</v>
      </c>
    </row>
    <row r="11" spans="1:8" ht="13.5" thickBot="1" x14ac:dyDescent="0.25">
      <c r="D11" s="20"/>
      <c r="E11" s="20"/>
    </row>
    <row r="12" spans="1:8" ht="13.5" thickBot="1" x14ac:dyDescent="0.25">
      <c r="A12" s="14" t="s">
        <v>131</v>
      </c>
      <c r="B12" s="92">
        <f>ESCALATION_FACTORS!$B$4</f>
        <v>44012</v>
      </c>
      <c r="C12" s="164">
        <f>ESCALATION_FACTORS!B5</f>
        <v>5.3999999999999999E-2</v>
      </c>
    </row>
    <row r="13" spans="1:8" ht="13.5" thickBot="1" x14ac:dyDescent="0.25">
      <c r="A13" s="20"/>
      <c r="B13" s="92">
        <f>ESCALATION_FACTORS!$C$4</f>
        <v>44377</v>
      </c>
      <c r="C13" s="165">
        <f>ESCALATION_FACTORS!C5</f>
        <v>-3.1E-2</v>
      </c>
    </row>
    <row r="14" spans="1:8" ht="13.5" thickBot="1" x14ac:dyDescent="0.25">
      <c r="A14" s="20"/>
      <c r="B14" s="92">
        <f>ESCALATION_FACTORS!$D$4</f>
        <v>44742</v>
      </c>
      <c r="C14" s="165">
        <f>ESCALATION_FACTORS!D5</f>
        <v>1E-3</v>
      </c>
    </row>
    <row r="15" spans="1:8" s="19" customFormat="1" ht="13.5" thickBot="1" x14ac:dyDescent="0.25">
      <c r="A15" s="20"/>
      <c r="B15" s="20"/>
      <c r="C15" s="20"/>
      <c r="D15" s="20"/>
      <c r="E15" s="20"/>
      <c r="H15" s="131"/>
    </row>
    <row r="16" spans="1:8" ht="13.5" thickBot="1" x14ac:dyDescent="0.25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859629.34705460432</v>
      </c>
      <c r="F16" s="133"/>
      <c r="G16" s="151"/>
      <c r="H16" s="130"/>
    </row>
  </sheetData>
  <sheetProtection algorithmName="SHA-512" hashValue="J1MUuVGHwd5mlT/vvPqm1AR3vkptvepWUIliQ4vAOmUycwDk7cEFsMqTY01v78W2rcd0XF7pmWcFXVtOCbVYnQ==" saltValue="E01NM1ccKXFl8BSQNOWflA==" spinCount="100000" sheet="1" objects="1" scenarios="1" selectLockedCell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workbookViewId="0">
      <selection activeCell="I24" sqref="I24"/>
    </sheetView>
  </sheetViews>
  <sheetFormatPr defaultColWidth="9.140625"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16</v>
      </c>
      <c r="B1" s="7"/>
    </row>
    <row r="2" spans="1:4" ht="13.5" thickBot="1" x14ac:dyDescent="0.25">
      <c r="D2" s="19"/>
    </row>
    <row r="3" spans="1:4" ht="13.5" thickBot="1" x14ac:dyDescent="0.25">
      <c r="A3" s="14" t="s">
        <v>31</v>
      </c>
      <c r="B3" s="120">
        <f>21982618/128074500</f>
        <v>0.17163930368652619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algorithmName="SHA-512" hashValue="kwwrSQm/wDQMfGBBsVEo9vpCj45qhZ/8Xaom49VSdTQp2KumZjwlH+jduiwGuUZXzU9+Of1axsgK11qC1k4wiA==" saltValue="Hd1kSSUWxK8/sqmg1taHiA==" spinCount="100000" sheet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7"/>
  <sheetViews>
    <sheetView showGridLines="0" zoomScaleNormal="100" workbookViewId="0">
      <selection activeCell="B3" sqref="B3"/>
    </sheetView>
  </sheetViews>
  <sheetFormatPr defaultColWidth="9.140625" defaultRowHeight="12.75" x14ac:dyDescent="0.2"/>
  <cols>
    <col min="1" max="1" width="31.28515625" style="9" customWidth="1"/>
    <col min="2" max="2" width="30.5703125" style="9" customWidth="1"/>
    <col min="3" max="3" width="9.140625" style="9"/>
    <col min="4" max="4" width="11.140625" style="9" bestFit="1" customWidth="1"/>
    <col min="5" max="6" width="9.140625" style="9"/>
    <col min="7" max="7" width="9.140625" style="9" customWidth="1"/>
    <col min="8" max="8" width="9.140625" style="9"/>
    <col min="9" max="9" width="9.140625" style="9" customWidth="1"/>
    <col min="10" max="16384" width="9.140625" style="9"/>
  </cols>
  <sheetData>
    <row r="1" spans="1:9" s="19" customFormat="1" ht="18.75" thickBot="1" x14ac:dyDescent="0.3">
      <c r="A1" s="6" t="s">
        <v>132</v>
      </c>
      <c r="B1" s="27"/>
      <c r="D1" s="26"/>
    </row>
    <row r="2" spans="1:9" ht="13.5" customHeight="1" thickBot="1" x14ac:dyDescent="0.25">
      <c r="D2" s="19"/>
    </row>
    <row r="3" spans="1:9" ht="13.5" thickBot="1" x14ac:dyDescent="0.25">
      <c r="A3" s="14" t="s">
        <v>103</v>
      </c>
      <c r="B3" s="122">
        <v>181760</v>
      </c>
      <c r="D3" s="161"/>
    </row>
    <row r="4" spans="1:9" ht="13.5" thickBot="1" x14ac:dyDescent="0.25">
      <c r="A4" s="12"/>
      <c r="D4" s="19"/>
    </row>
    <row r="5" spans="1:9" x14ac:dyDescent="0.2">
      <c r="A5" s="80" t="s">
        <v>102</v>
      </c>
      <c r="B5" s="34" t="s">
        <v>128</v>
      </c>
      <c r="D5" s="19"/>
    </row>
    <row r="6" spans="1:9" s="19" customFormat="1" ht="13.5" thickBot="1" x14ac:dyDescent="0.25">
      <c r="A6" s="20" t="s">
        <v>112</v>
      </c>
      <c r="B6" s="32">
        <v>44652</v>
      </c>
    </row>
    <row r="7" spans="1:9" s="19" customFormat="1" ht="13.5" thickBot="1" x14ac:dyDescent="0.25">
      <c r="A7" s="20" t="s">
        <v>113</v>
      </c>
      <c r="B7" s="32">
        <v>44652</v>
      </c>
    </row>
    <row r="8" spans="1:9" ht="13.5" thickBot="1" x14ac:dyDescent="0.25">
      <c r="C8" s="20"/>
      <c r="D8" s="20"/>
    </row>
    <row r="9" spans="1:9" ht="13.5" thickBot="1" x14ac:dyDescent="0.25">
      <c r="A9" s="93" t="s">
        <v>68</v>
      </c>
      <c r="B9" s="94">
        <f>VLOOKUP(B5,ESCALATION_FACTORS!$A$5:$E$9,2,)</f>
        <v>1.1900000000000001E-2</v>
      </c>
      <c r="D9" s="19"/>
    </row>
    <row r="10" spans="1:9" ht="13.5" thickBot="1" x14ac:dyDescent="0.25">
      <c r="D10" s="19"/>
    </row>
    <row r="11" spans="1:9" ht="13.5" thickBot="1" x14ac:dyDescent="0.25">
      <c r="A11" s="14" t="s">
        <v>89</v>
      </c>
      <c r="B11" s="35">
        <f>B3*(1+B9)^((B7-B6)/365)</f>
        <v>181760</v>
      </c>
      <c r="D11" s="19"/>
    </row>
    <row r="12" spans="1:9" x14ac:dyDescent="0.2">
      <c r="D12" s="19"/>
    </row>
    <row r="13" spans="1:9" x14ac:dyDescent="0.2">
      <c r="D13" s="19"/>
    </row>
    <row r="14" spans="1:9" x14ac:dyDescent="0.2">
      <c r="D14" s="19"/>
    </row>
    <row r="15" spans="1:9" x14ac:dyDescent="0.2">
      <c r="D15" s="19"/>
      <c r="G15" s="25"/>
      <c r="H15" s="25"/>
      <c r="I15" s="25"/>
    </row>
    <row r="16" spans="1:9" ht="15" x14ac:dyDescent="0.2">
      <c r="G16" s="162"/>
      <c r="H16" s="162"/>
      <c r="I16" s="163"/>
    </row>
    <row r="17" spans="9:9" x14ac:dyDescent="0.2">
      <c r="I17" s="45"/>
    </row>
  </sheetData>
  <sheetProtection algorithmName="SHA-512" hashValue="wBlWtG+AT37daNVjPhhig9EybPLD0BWikD0b0Qq0GEBBL8gNGEmxbPUyLGTp8IQt+qnoUXmsLldcXU3qTeAXrg==" saltValue="vPoAw5PrwJuu/ppD9nOoHw==" spinCount="100000" sheet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workbookViewId="0">
      <selection activeCell="I25" sqref="I24:I25"/>
    </sheetView>
  </sheetViews>
  <sheetFormatPr defaultColWidth="9.140625"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91</v>
      </c>
      <c r="B1" s="46"/>
      <c r="C1" s="88"/>
      <c r="D1" s="88"/>
      <c r="E1" s="86"/>
      <c r="I1" s="24"/>
    </row>
    <row r="3" spans="1:10" x14ac:dyDescent="0.2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5" thickBot="1" x14ac:dyDescent="0.25">
      <c r="G4" s="102" t="s">
        <v>137</v>
      </c>
    </row>
    <row r="5" spans="1:10" ht="13.5" thickBot="1" x14ac:dyDescent="0.25">
      <c r="A5" s="9" t="s">
        <v>55</v>
      </c>
      <c r="B5" s="3">
        <v>3</v>
      </c>
      <c r="C5" s="123">
        <v>1250000</v>
      </c>
      <c r="D5" s="123">
        <v>187040</v>
      </c>
      <c r="E5" s="91">
        <f>B5*C5+D5</f>
        <v>3937040</v>
      </c>
      <c r="G5" s="19"/>
      <c r="H5" s="19"/>
      <c r="I5" s="19"/>
      <c r="J5" s="19"/>
    </row>
    <row r="6" spans="1:10" ht="13.5" thickBot="1" x14ac:dyDescent="0.25">
      <c r="A6" s="9" t="s">
        <v>56</v>
      </c>
      <c r="B6" s="3">
        <v>3</v>
      </c>
      <c r="C6" s="123">
        <v>2000000</v>
      </c>
      <c r="D6" s="123">
        <v>302915</v>
      </c>
      <c r="E6" s="91">
        <f t="shared" ref="E6:E10" si="0">B6*C6+D6</f>
        <v>6302915</v>
      </c>
      <c r="G6" s="19"/>
      <c r="H6" s="19"/>
      <c r="I6" s="19"/>
      <c r="J6" s="19"/>
    </row>
    <row r="7" spans="1:10" ht="13.5" thickBot="1" x14ac:dyDescent="0.25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5" thickBot="1" x14ac:dyDescent="0.25">
      <c r="A8" s="9" t="s">
        <v>58</v>
      </c>
      <c r="B8" s="3">
        <v>3</v>
      </c>
      <c r="C8" s="123">
        <v>110000</v>
      </c>
      <c r="D8" s="123">
        <v>11590</v>
      </c>
      <c r="E8" s="91">
        <f>B8*C8+D8</f>
        <v>341590</v>
      </c>
      <c r="G8" s="19"/>
      <c r="H8" s="19"/>
      <c r="I8" s="19"/>
      <c r="J8" s="19"/>
    </row>
    <row r="9" spans="1:10" ht="13.5" thickBot="1" x14ac:dyDescent="0.25">
      <c r="A9" s="9" t="s">
        <v>62</v>
      </c>
      <c r="B9" s="3">
        <v>3</v>
      </c>
      <c r="C9" s="123">
        <v>125000</v>
      </c>
      <c r="D9" s="123">
        <v>13727.5</v>
      </c>
      <c r="E9" s="91">
        <f t="shared" si="0"/>
        <v>388727.5</v>
      </c>
      <c r="G9" s="19"/>
      <c r="H9" s="19"/>
      <c r="I9" s="19"/>
      <c r="J9" s="19"/>
    </row>
    <row r="10" spans="1:10" ht="13.5" thickBot="1" x14ac:dyDescent="0.25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60</v>
      </c>
      <c r="B11" s="4">
        <v>3</v>
      </c>
      <c r="C11" s="124">
        <v>600000</v>
      </c>
      <c r="D11" s="124">
        <v>86615</v>
      </c>
      <c r="E11" s="91">
        <f>B11*C11+D11</f>
        <v>1886615</v>
      </c>
      <c r="G11" s="19"/>
      <c r="H11" s="19"/>
      <c r="I11" s="19"/>
      <c r="J11" s="19"/>
    </row>
    <row r="12" spans="1:10" ht="13.5" thickBot="1" x14ac:dyDescent="0.25">
      <c r="A12" s="14" t="s">
        <v>98</v>
      </c>
      <c r="E12" s="87">
        <f>(SUM(E5:E8)+0.5*(E9+E10)+E11)/6</f>
        <v>2403127.7083333335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67</v>
      </c>
      <c r="B14" s="20"/>
      <c r="C14" s="20"/>
      <c r="D14" s="20"/>
      <c r="E14" s="16" t="s">
        <v>66</v>
      </c>
    </row>
    <row r="15" spans="1:10" s="19" customFormat="1" ht="13.5" thickBot="1" x14ac:dyDescent="0.25">
      <c r="A15" s="20" t="s">
        <v>112</v>
      </c>
      <c r="B15" s="20"/>
      <c r="C15" s="20"/>
      <c r="D15" s="20"/>
      <c r="E15" s="31">
        <v>43646</v>
      </c>
    </row>
    <row r="16" spans="1:10" s="19" customFormat="1" ht="13.5" thickBot="1" x14ac:dyDescent="0.25">
      <c r="A16" s="20" t="s">
        <v>113</v>
      </c>
      <c r="B16" s="20"/>
      <c r="C16" s="20"/>
      <c r="D16" s="20"/>
      <c r="E16" s="32">
        <v>44652</v>
      </c>
    </row>
    <row r="17" spans="1:7" ht="13.5" thickBot="1" x14ac:dyDescent="0.25">
      <c r="G17" s="19"/>
    </row>
    <row r="18" spans="1:7" ht="13.5" thickBot="1" x14ac:dyDescent="0.25">
      <c r="A18" s="20" t="s">
        <v>68</v>
      </c>
      <c r="C18" s="14" t="s">
        <v>130</v>
      </c>
      <c r="D18" s="92">
        <f>ESCALATION_FACTORS!$B$4</f>
        <v>44012</v>
      </c>
      <c r="E18" s="101">
        <f>VLOOKUP($E$14,ESCALATION_FACTORS!$A$5:$E$9,2,)</f>
        <v>1.7500000000000002E-2</v>
      </c>
      <c r="G18" s="19"/>
    </row>
    <row r="19" spans="1:7" ht="13.5" thickBot="1" x14ac:dyDescent="0.25">
      <c r="B19" s="14"/>
      <c r="D19" s="92">
        <f>ESCALATION_FACTORS!$C$4</f>
        <v>44377</v>
      </c>
      <c r="E19" s="101">
        <f>VLOOKUP($E$14,ESCALATION_FACTORS!$A$5:$E$9,3,)</f>
        <v>0.02</v>
      </c>
      <c r="G19" s="19"/>
    </row>
    <row r="20" spans="1:7" ht="13.5" thickBot="1" x14ac:dyDescent="0.25">
      <c r="B20" s="14"/>
      <c r="D20" s="92">
        <f>ESCALATION_FACTORS!$D$4</f>
        <v>44742</v>
      </c>
      <c r="E20" s="101">
        <f>VLOOKUP($E$14,ESCALATION_FACTORS!$A$5:$E$9,4,)</f>
        <v>2.2499999999999999E-2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2536249.7758095991</v>
      </c>
    </row>
    <row r="28" spans="1:7" ht="13.5" thickBot="1" x14ac:dyDescent="0.25"/>
    <row r="29" spans="1:7" ht="13.5" thickBot="1" x14ac:dyDescent="0.25">
      <c r="A29" s="134" t="s">
        <v>135</v>
      </c>
      <c r="B29" s="135">
        <f>E12</f>
        <v>2403127.7083333335</v>
      </c>
      <c r="G29" s="17"/>
    </row>
    <row r="30" spans="1:7" ht="13.5" thickBot="1" x14ac:dyDescent="0.25">
      <c r="A30" s="136" t="s">
        <v>136</v>
      </c>
      <c r="B30" s="137">
        <f>B29/3</f>
        <v>801042.5694444445</v>
      </c>
      <c r="G30" s="110"/>
    </row>
    <row r="31" spans="1:7" ht="13.5" thickBot="1" x14ac:dyDescent="0.25">
      <c r="A31" s="138" t="s">
        <v>166</v>
      </c>
      <c r="B31" s="139">
        <f>B30*12*50%</f>
        <v>4806255.416666667</v>
      </c>
      <c r="G31" s="45"/>
    </row>
    <row r="32" spans="1:7" ht="13.5" thickBot="1" x14ac:dyDescent="0.25">
      <c r="A32" s="138" t="s">
        <v>169</v>
      </c>
      <c r="B32" s="140">
        <f>B31*(1+ESCALATION_FACTORS!B8)</f>
        <v>4890364.8864583336</v>
      </c>
      <c r="G32" s="111"/>
    </row>
  </sheetData>
  <sheetProtection algorithmName="SHA-512" hashValue="l6oEZiwfqmjN1FI0e0818+tcvPKeLJtip3RbgWNL3wPJ1ovgdXXCybzzj4LByRLRzTY4cuKRuyTkt8i76fusUA==" saltValue="5qgRRMrEeBnClyLCJhbIiQ==" spinCount="100000" sheet="1" objects="1" scenarios="1"/>
  <phoneticPr fontId="4" type="noConversion"/>
  <hyperlinks>
    <hyperlink ref="G4" r:id="rId1" xr:uid="{00000000-0004-0000-0900-000000000000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MARKETS-1263858229-4841</_dlc_DocId>
    <_dlc_DocIdUrl xmlns="a14523ce-dede-483e-883a-2d83261080bd">
      <Url>http://sharedocs/sites/markets/o/sc/_layouts/15/DocIdRedir.aspx?ID=MARKETS-1263858229-4841</Url>
      <Description>MARKETS-1263858229-4841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030ED1-4D69-4E66-A8D1-41216DEE0870}"/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4d0d699-67d0-4fa5-a1be-e9e758bd8702"/>
    <ds:schemaRef ds:uri="128ca797-da11-486e-9f6a-a75983b2d4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B7B7C1-3835-4265-9483-9E5278462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LC</vt:lpstr>
      <vt:lpstr>FFC</vt:lpstr>
      <vt:lpstr>ESCALATION_FACTORS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Trevor Griffiths</cp:lastModifiedBy>
  <cp:lastPrinted>2018-09-21T02:22:15Z</cp:lastPrinted>
  <dcterms:created xsi:type="dcterms:W3CDTF">2008-08-08T07:52:00Z</dcterms:created>
  <dcterms:modified xsi:type="dcterms:W3CDTF">2019-11-27T02:53:20Z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0x0101005A456C7A5B82A148801EF290BF8A088C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0ff64753-eaea-4d23-913b-7bb96d17fc64</vt:lpwstr>
  </property>
</Properties>
</file>