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mc:AlternateContent xmlns:mc="http://schemas.openxmlformats.org/markup-compatibility/2006">
    <mc:Choice Requires="x15">
      <x15ac:absPath xmlns:x15ac="http://schemas.microsoft.com/office/spreadsheetml/2010/11/ac" url="\\sharedocs\DavWWWRoot\sites\nd\BusinessAsUsual\Generation Information\GenInfo\2018\2018_October_minor_update\16_publication\"/>
    </mc:Choice>
  </mc:AlternateContent>
  <xr:revisionPtr revIDLastSave="0" documentId="10_ncr:100000_{39C10152-C415-4D21-82ED-029493FE4405}" xr6:coauthVersionLast="31" xr6:coauthVersionMax="31" xr10:uidLastSave="{00000000-0000-0000-0000-000000000000}"/>
  <bookViews>
    <workbookView xWindow="0" yWindow="0" windowWidth="13125" windowHeight="6105" tabRatio="762" xr2:uid="{00000000-000D-0000-FFFF-FFFF00000000}"/>
  </bookViews>
  <sheets>
    <sheet name="Queensland Summary" sheetId="1" r:id="rId1"/>
    <sheet name="Change Log" sheetId="13" r:id="rId2"/>
    <sheet name="Existing S &amp; SS Generation" sheetId="11" r:id="rId3"/>
    <sheet name="Summer Scheduled Capacities" sheetId="15" r:id="rId4"/>
    <sheet name="Winter Scheduled Capacities" sheetId="16" r:id="rId5"/>
    <sheet name="Existing NS Generation" sheetId="12" r:id="rId6"/>
    <sheet name="New Developments" sheetId="10" r:id="rId7"/>
    <sheet name="Background Information" sheetId="19" r:id="rId8"/>
  </sheets>
  <definedNames>
    <definedName name="_xlnm._FilterDatabase" localSheetId="3" hidden="1">'Summer Scheduled Capacities'!$A$1:$A$1</definedName>
    <definedName name="ExternalData_1" localSheetId="5" hidden="1">'Existing NS Generation'!$A$2:$I$71</definedName>
    <definedName name="ExternalData_1" localSheetId="2">'Existing S &amp; SS Generation'!#REF!</definedName>
    <definedName name="ExternalData_1" localSheetId="3" hidden="1">'Summer Scheduled Capacities'!$A$2:$O$50</definedName>
    <definedName name="ExternalData_1" localSheetId="4" hidden="1">'Winter Scheduled Capacities'!$A$2:$O$50</definedName>
    <definedName name="ExternalData_2" localSheetId="2" hidden="1">'Existing S &amp; SS Generation'!$A$2:$K$30</definedName>
    <definedName name="ExternalData_2" localSheetId="3" hidden="1">'Summer Scheduled Capacities'!$A$60:$O$82</definedName>
    <definedName name="ExternalData_2" localSheetId="4" hidden="1">'Winter Scheduled Capacities'!$A$60:$O$82</definedName>
    <definedName name="ExternalData_3" localSheetId="3" hidden="1">'Summer Scheduled Capacities'!$A$89:$O$115</definedName>
    <definedName name="ExternalData_3" localSheetId="4" hidden="1">'Winter Scheduled Capacities'!$A$89:$O$115</definedName>
  </definedNames>
  <calcPr calcId="179017"/>
</workbook>
</file>

<file path=xl/calcChain.xml><?xml version="1.0" encoding="utf-8"?>
<calcChain xmlns="http://schemas.openxmlformats.org/spreadsheetml/2006/main">
  <c r="L67" i="1" l="1"/>
  <c r="K67" i="1"/>
  <c r="J67" i="1"/>
  <c r="I67" i="1"/>
  <c r="H67" i="1"/>
  <c r="G67" i="1"/>
  <c r="F67" i="1"/>
  <c r="E67" i="1"/>
  <c r="D67" i="1"/>
  <c r="C67" i="1"/>
  <c r="L63" i="1"/>
  <c r="K63" i="1"/>
  <c r="J63" i="1"/>
  <c r="I63" i="1"/>
  <c r="H63" i="1"/>
  <c r="G63" i="1"/>
  <c r="F63" i="1"/>
  <c r="E63" i="1"/>
  <c r="D63" i="1"/>
  <c r="C63" i="1"/>
  <c r="L64" i="1"/>
  <c r="K64" i="1"/>
  <c r="J64" i="1"/>
  <c r="I64" i="1"/>
  <c r="H64" i="1"/>
  <c r="G64" i="1"/>
  <c r="F64" i="1"/>
  <c r="E64" i="1"/>
  <c r="D64" i="1"/>
  <c r="C64" i="1"/>
  <c r="D32" i="11"/>
  <c r="C73" i="12" l="1"/>
  <c r="C52" i="16" l="1"/>
  <c r="D52" i="16"/>
  <c r="E52" i="16"/>
  <c r="F52" i="16"/>
  <c r="G52" i="16"/>
  <c r="H52" i="16"/>
  <c r="I52" i="16"/>
  <c r="J52" i="16"/>
  <c r="K52" i="16"/>
  <c r="B52" i="16"/>
  <c r="C119" i="16"/>
  <c r="D119" i="16"/>
  <c r="E119" i="16"/>
  <c r="F119" i="16"/>
  <c r="G119" i="16"/>
  <c r="H119" i="16"/>
  <c r="I119" i="16"/>
  <c r="J119" i="16"/>
  <c r="K119" i="16"/>
  <c r="B119" i="16"/>
  <c r="C118" i="16"/>
  <c r="D118" i="16"/>
  <c r="E118" i="16"/>
  <c r="F118" i="16"/>
  <c r="G118" i="16"/>
  <c r="H118" i="16"/>
  <c r="I118" i="16"/>
  <c r="J118" i="16"/>
  <c r="K118" i="16"/>
  <c r="B118" i="16"/>
  <c r="C117" i="16"/>
  <c r="D117" i="16"/>
  <c r="E117" i="16"/>
  <c r="F117" i="16"/>
  <c r="G117" i="16"/>
  <c r="H117" i="16"/>
  <c r="I117" i="16"/>
  <c r="J117" i="16"/>
  <c r="K117" i="16"/>
  <c r="B117" i="16"/>
  <c r="C86" i="16"/>
  <c r="D86" i="16"/>
  <c r="E86" i="16"/>
  <c r="F86" i="16"/>
  <c r="G86" i="16"/>
  <c r="H86" i="16"/>
  <c r="I86" i="16"/>
  <c r="J86" i="16"/>
  <c r="K86" i="16"/>
  <c r="B86" i="16"/>
  <c r="C119" i="15" l="1"/>
  <c r="D119" i="15"/>
  <c r="E119" i="15"/>
  <c r="F119" i="15"/>
  <c r="G119" i="15"/>
  <c r="H119" i="15"/>
  <c r="I119" i="15"/>
  <c r="J119" i="15"/>
  <c r="K119" i="15"/>
  <c r="B119" i="15"/>
  <c r="C118" i="15"/>
  <c r="D118" i="15"/>
  <c r="E118" i="15"/>
  <c r="F118" i="15"/>
  <c r="G118" i="15"/>
  <c r="H118" i="15"/>
  <c r="I118" i="15"/>
  <c r="J118" i="15"/>
  <c r="K118" i="15"/>
  <c r="B118" i="15"/>
  <c r="C117" i="15"/>
  <c r="D117" i="15"/>
  <c r="E117" i="15"/>
  <c r="F117" i="15"/>
  <c r="G117" i="15"/>
  <c r="H117" i="15"/>
  <c r="I117" i="15"/>
  <c r="J117" i="15"/>
  <c r="K117" i="15"/>
  <c r="B117" i="15"/>
  <c r="C86" i="15"/>
  <c r="D86" i="15"/>
  <c r="E86" i="15"/>
  <c r="F86" i="15"/>
  <c r="G86" i="15"/>
  <c r="H86" i="15"/>
  <c r="I86" i="15"/>
  <c r="J86" i="15"/>
  <c r="K86" i="15"/>
  <c r="B86" i="15"/>
  <c r="C52" i="15"/>
  <c r="D52" i="15"/>
  <c r="E52" i="15"/>
  <c r="F52" i="15"/>
  <c r="G52" i="15"/>
  <c r="H52" i="15"/>
  <c r="I52" i="15"/>
  <c r="J52" i="15"/>
  <c r="K52" i="15"/>
  <c r="B52" i="15"/>
  <c r="H65" i="1" l="1"/>
  <c r="J62" i="1"/>
  <c r="F62" i="1" l="1"/>
  <c r="G62" i="1"/>
  <c r="H62" i="1"/>
  <c r="L62" i="1"/>
  <c r="I62" i="1"/>
  <c r="E62" i="1"/>
  <c r="D62" i="1"/>
  <c r="M67" i="1"/>
  <c r="M63" i="1"/>
  <c r="K62" i="1"/>
  <c r="M64" i="1"/>
  <c r="C62" i="1"/>
  <c r="L66" i="1"/>
  <c r="K66" i="1"/>
  <c r="J66" i="1"/>
  <c r="I66" i="1"/>
  <c r="H66" i="1"/>
  <c r="G66" i="1"/>
  <c r="F66" i="1"/>
  <c r="E66" i="1"/>
  <c r="D66" i="1"/>
  <c r="C66" i="1"/>
  <c r="L65" i="1"/>
  <c r="K65" i="1"/>
  <c r="J65" i="1"/>
  <c r="I65" i="1"/>
  <c r="G65" i="1"/>
  <c r="F65" i="1"/>
  <c r="E65" i="1"/>
  <c r="D65" i="1"/>
  <c r="C65" i="1"/>
  <c r="M66" i="1" l="1"/>
  <c r="M65" i="1"/>
  <c r="M62"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2000000}" keepAlive="1" name="Query - NewDevs" description="Connection to the 'NewDevs' query in the workbook." type="5" refreshedVersion="6" background="1" saveData="1">
    <dbPr connection="Provider=Microsoft.Mashup.OleDb.1;Data Source=$Workbook$;Location=newdevs;Extended Properties=&quot;&quot;" command="SELECT * FROM [NewDevs]"/>
  </connection>
</connections>
</file>

<file path=xl/sharedStrings.xml><?xml version="1.0" encoding="utf-8"?>
<sst xmlns="http://schemas.openxmlformats.org/spreadsheetml/2006/main" count="3452" uniqueCount="773">
  <si>
    <t>Existing &amp; committed scheduled and semi-scheduled generation</t>
  </si>
  <si>
    <t>Power Station</t>
  </si>
  <si>
    <t>Owner</t>
  </si>
  <si>
    <t>Technology Type</t>
  </si>
  <si>
    <t>Fuel Type</t>
  </si>
  <si>
    <t>Dispatch Type</t>
  </si>
  <si>
    <t>Service Status</t>
  </si>
  <si>
    <t>Region</t>
  </si>
  <si>
    <t>Compression Reciprocating Engine</t>
  </si>
  <si>
    <t>Diesel</t>
  </si>
  <si>
    <t>S</t>
  </si>
  <si>
    <t>In Service</t>
  </si>
  <si>
    <t>Wind - Onshore</t>
  </si>
  <si>
    <t>Wind</t>
  </si>
  <si>
    <t>SS</t>
  </si>
  <si>
    <t>OCGT</t>
  </si>
  <si>
    <t>Natural Gas Pipeline</t>
  </si>
  <si>
    <t>Barcaldine Power Station</t>
  </si>
  <si>
    <t>Ergon Energy Queensland Pty Ltd</t>
  </si>
  <si>
    <t>1 x 37</t>
  </si>
  <si>
    <t>QLD</t>
  </si>
  <si>
    <t>Barron Gorge</t>
  </si>
  <si>
    <t>Stanwell Corporation Limited</t>
  </si>
  <si>
    <t>2 x 33</t>
  </si>
  <si>
    <t>Run of River</t>
  </si>
  <si>
    <t>Water</t>
  </si>
  <si>
    <t>Hydro - Gravity</t>
  </si>
  <si>
    <t>AGL Energy</t>
  </si>
  <si>
    <t>Steam Sub Critical</t>
  </si>
  <si>
    <t>Black Coal</t>
  </si>
  <si>
    <t>AGL</t>
  </si>
  <si>
    <t>Braemar</t>
  </si>
  <si>
    <t>Braemar Power Project Pty Ltd</t>
  </si>
  <si>
    <t>3 x 168</t>
  </si>
  <si>
    <t>Coal Seam Methane</t>
  </si>
  <si>
    <t>Braemar 2 Power Station</t>
  </si>
  <si>
    <t>Arrow Braemar 2 Pty Ltd and Arrow Southern Generation Pty Ltd trading as NewGen Braemar 2 Partnership</t>
  </si>
  <si>
    <t>3 x 173</t>
  </si>
  <si>
    <t>PARF Company 6 Pty Limited</t>
  </si>
  <si>
    <t>PV panels</t>
  </si>
  <si>
    <t>Solar</t>
  </si>
  <si>
    <t>Callide B</t>
  </si>
  <si>
    <t>CS Energy</t>
  </si>
  <si>
    <t>2 x 350</t>
  </si>
  <si>
    <t>Callide C</t>
  </si>
  <si>
    <t>Callide Power Management</t>
  </si>
  <si>
    <t>2 x 450</t>
  </si>
  <si>
    <t>Steam Super Critical</t>
  </si>
  <si>
    <t>Clare Solar Farm</t>
  </si>
  <si>
    <t>Clare Asset Co Pty Ltd ATF Clare Asset Trust</t>
  </si>
  <si>
    <t>69 x 1.6</t>
  </si>
  <si>
    <t>PV-Tracking Flat panel</t>
  </si>
  <si>
    <t>Condamine A</t>
  </si>
  <si>
    <t>QGC</t>
  </si>
  <si>
    <t>1 x 57.1
2 x 43.7</t>
  </si>
  <si>
    <t>CCGT</t>
  </si>
  <si>
    <t>Darling Downs</t>
  </si>
  <si>
    <t>Origin Energy Power Limited</t>
  </si>
  <si>
    <t>3 x 121.5
1 x 280</t>
  </si>
  <si>
    <t>Gladstone</t>
  </si>
  <si>
    <t>Gladstone Power Station Participants</t>
  </si>
  <si>
    <t>6 x 280</t>
  </si>
  <si>
    <t>Pump Storage</t>
  </si>
  <si>
    <t>Kareeya</t>
  </si>
  <si>
    <t>4 x 21.6</t>
  </si>
  <si>
    <t>Kidston Solar Project Phase One 50MW</t>
  </si>
  <si>
    <t>Genex Power Limited</t>
  </si>
  <si>
    <t>1 x 50</t>
  </si>
  <si>
    <t>Kogan Creek</t>
  </si>
  <si>
    <t>1 x 744</t>
  </si>
  <si>
    <t>2 x 40</t>
  </si>
  <si>
    <t>Announced Withdrawal</t>
  </si>
  <si>
    <t>Mackay GT</t>
  </si>
  <si>
    <t>1 x 34</t>
  </si>
  <si>
    <t>Millmerran</t>
  </si>
  <si>
    <t>Millmerran Power Partners</t>
  </si>
  <si>
    <t>2 x 426</t>
  </si>
  <si>
    <t>Mt Stuart</t>
  </si>
  <si>
    <t>Origin Energy Mt Stuart</t>
  </si>
  <si>
    <t>Oakey Power Station</t>
  </si>
  <si>
    <t>Oakey Power Holdings</t>
  </si>
  <si>
    <t>2 x 141</t>
  </si>
  <si>
    <t>Roma</t>
  </si>
  <si>
    <t>Stanwell</t>
  </si>
  <si>
    <t>4 x 365</t>
  </si>
  <si>
    <t>Swanbank E GT</t>
  </si>
  <si>
    <t>1 x 385</t>
  </si>
  <si>
    <t>Energy Pacific Vic Pty Ltd</t>
  </si>
  <si>
    <t>Tarong</t>
  </si>
  <si>
    <t>4 x 350</t>
  </si>
  <si>
    <t>Tarong North</t>
  </si>
  <si>
    <t>1 x 450</t>
  </si>
  <si>
    <t>Townsville Power Station</t>
  </si>
  <si>
    <t>Ratch Australia</t>
  </si>
  <si>
    <t>Wivenhoe</t>
  </si>
  <si>
    <t>2 x 285</t>
  </si>
  <si>
    <t>Total</t>
  </si>
  <si>
    <t>1</t>
  </si>
  <si>
    <t>2</t>
  </si>
  <si>
    <t>Units 1-40</t>
  </si>
  <si>
    <t>Units 1-69</t>
  </si>
  <si>
    <t>Clermont Solar Farm</t>
  </si>
  <si>
    <t>Clermont Solar Farm 1</t>
  </si>
  <si>
    <t>Collinsville PV</t>
  </si>
  <si>
    <t>All Units</t>
  </si>
  <si>
    <t>Coopers Gap</t>
  </si>
  <si>
    <t>1 - 115</t>
  </si>
  <si>
    <t>Darling Downs Solar Farm</t>
  </si>
  <si>
    <t>Daydream Solar Farm</t>
  </si>
  <si>
    <t>6</t>
  </si>
  <si>
    <t>Haughton Solar Farm</t>
  </si>
  <si>
    <t>Units 1-81</t>
  </si>
  <si>
    <t>Hayman Solar Farm</t>
  </si>
  <si>
    <t>Kennedy Energy Park - Phase 1 - Solar</t>
  </si>
  <si>
    <t>Kennedy Energy Park - Phase 1 - Storage</t>
  </si>
  <si>
    <t>Kennedy Energy Park - Phase 1 - Wind</t>
  </si>
  <si>
    <t>12</t>
  </si>
  <si>
    <t>Lilyvale Solar Farm</t>
  </si>
  <si>
    <t>1-69</t>
  </si>
  <si>
    <t>Mount Emerald</t>
  </si>
  <si>
    <t>Units 1-53</t>
  </si>
  <si>
    <t>Oakey 2 Solar Farm</t>
  </si>
  <si>
    <t>Oakey 2</t>
  </si>
  <si>
    <t>Oakey Solar Farm</t>
  </si>
  <si>
    <t>Solar Panels</t>
  </si>
  <si>
    <t>Ross River Solar Farm</t>
  </si>
  <si>
    <t>75</t>
  </si>
  <si>
    <t>1-6</t>
  </si>
  <si>
    <t>Whitsunday Solar Farm</t>
  </si>
  <si>
    <t>Station</t>
  </si>
  <si>
    <t>Existing non-scheduled generation</t>
  </si>
  <si>
    <t>Nameplate Capacity (MW)</t>
  </si>
  <si>
    <t>In service</t>
  </si>
  <si>
    <t>LMS Energy Pty Ltd</t>
  </si>
  <si>
    <t>Landfill Methane / Landfill Gas</t>
  </si>
  <si>
    <t>Waste Coal Mine Gas</t>
  </si>
  <si>
    <t>LMS ENERGY Pty Ltd</t>
  </si>
  <si>
    <t>Barcaldine Remote Community Solar Farm</t>
  </si>
  <si>
    <t>Barcaldine Remote Community Solar Farm Pty Ltd</t>
  </si>
  <si>
    <t>Birkdale</t>
  </si>
  <si>
    <t>Bagasse</t>
  </si>
  <si>
    <t>Browns Plains</t>
  </si>
  <si>
    <t>EDL LFG Qld Pty Ltd</t>
  </si>
  <si>
    <t>Chillamurra Solar Farm</t>
  </si>
  <si>
    <t>Chillamurra Solar Pty Ltd</t>
  </si>
  <si>
    <t>Daandine Power Station</t>
  </si>
  <si>
    <t>APT Petroleum Pipeline Holdings Pty Ltd</t>
  </si>
  <si>
    <t>Dunblane Solar Farm</t>
  </si>
  <si>
    <t>Dunblane Solar Pty Ltd</t>
  </si>
  <si>
    <t>Fraser Coast Community Solar Farm</t>
  </si>
  <si>
    <t>Wide Bay Water Corporation</t>
  </si>
  <si>
    <t>German Creek</t>
  </si>
  <si>
    <t>EDL CSM Qld Pty Ltd</t>
  </si>
  <si>
    <t>EDL OCI Pty Ltd</t>
  </si>
  <si>
    <t>Grosvenor 1</t>
  </si>
  <si>
    <t>EDL Projects Australia Pty Ltd</t>
  </si>
  <si>
    <t>Inkerman Mill</t>
  </si>
  <si>
    <t>Pioneer Sugar Mills P/L</t>
  </si>
  <si>
    <t>Invicta Mill</t>
  </si>
  <si>
    <t>The Haughton Sugar Company P/L</t>
  </si>
  <si>
    <t>ISIS Central Sugar Mill Co-generation Plant</t>
  </si>
  <si>
    <t>Kalamia Mill</t>
  </si>
  <si>
    <t>Wilmar Sugar  P/L</t>
  </si>
  <si>
    <t>Kareeya 5</t>
  </si>
  <si>
    <t>Llewellyn Motors</t>
  </si>
  <si>
    <t>Llewellyn Land Pty Ltd ATF Llewellyn Land Unit Trust</t>
  </si>
  <si>
    <t>Macknade Mill</t>
  </si>
  <si>
    <t>Wilmar Sugar P/L</t>
  </si>
  <si>
    <t>Maryborough Mill</t>
  </si>
  <si>
    <t>MSF Sugar</t>
  </si>
  <si>
    <t>McNamee Partners</t>
  </si>
  <si>
    <t>McNamee Partners Pty Ltd</t>
  </si>
  <si>
    <t>Molendinar</t>
  </si>
  <si>
    <t>Moranbah Generation Project</t>
  </si>
  <si>
    <t>Moranbah North</t>
  </si>
  <si>
    <t>MSF Sugar Pty Ltd</t>
  </si>
  <si>
    <t>Mulgrave Central Mill</t>
  </si>
  <si>
    <t>Oaky Creek</t>
  </si>
  <si>
    <t>Oaky Creek 2</t>
  </si>
  <si>
    <t>EDL OCI PTY LTD</t>
  </si>
  <si>
    <t>Pioneer Sugar Mill</t>
  </si>
  <si>
    <t>Plane Creek Mill</t>
  </si>
  <si>
    <t>Wilmar Sugar Plane Creek P/L</t>
  </si>
  <si>
    <t>Proserpine</t>
  </si>
  <si>
    <t>Wimar Sugar Proserpine Pty Ltd</t>
  </si>
  <si>
    <t>Racecourse Mill</t>
  </si>
  <si>
    <t>Mackay Sugar Ltd</t>
  </si>
  <si>
    <t>Renewable Power Australia Limited</t>
  </si>
  <si>
    <t>Renewable Power Australia Limited as Trustee for FPC Green Fund Trust</t>
  </si>
  <si>
    <t>Green and air dried wood</t>
  </si>
  <si>
    <t>Rochedale Renewable Energy Facility</t>
  </si>
  <si>
    <t>Roghan Road</t>
  </si>
  <si>
    <t>South Johnstone Mill</t>
  </si>
  <si>
    <t>Southbank Institute of Technology Unit 1 Plant</t>
  </si>
  <si>
    <t>Southbank Institute of Technology</t>
  </si>
  <si>
    <t>Stapylton Renewable Energy Facility</t>
  </si>
  <si>
    <t>Sun Metals Corporation Solar Farm</t>
  </si>
  <si>
    <t>Sun Metals Corporation Pty Ltd</t>
  </si>
  <si>
    <t>Suncoast Gold Macadamias</t>
  </si>
  <si>
    <t>Macadamia Nut Shells</t>
  </si>
  <si>
    <t>Sunshine Coast Solar Farm</t>
  </si>
  <si>
    <t>Sunshine Coast Regional Council</t>
  </si>
  <si>
    <t>Suntown Renewable Energy Facility</t>
  </si>
  <si>
    <t>Swanbank JV</t>
  </si>
  <si>
    <t>Tableland Mill</t>
  </si>
  <si>
    <t>Tarong GT</t>
  </si>
  <si>
    <t>Fuel Oil</t>
  </si>
  <si>
    <t>Ti Tree Bioenergy</t>
  </si>
  <si>
    <t>Victoria Mill</t>
  </si>
  <si>
    <t>Wilmar Sugar Herbert P/L</t>
  </si>
  <si>
    <t>Whitwood Road</t>
  </si>
  <si>
    <t>Windy Hill</t>
  </si>
  <si>
    <t>Wivenhoe Small Hydro</t>
  </si>
  <si>
    <t>Yarwun 1</t>
  </si>
  <si>
    <t>RTA Yarwun Pty Ltd</t>
  </si>
  <si>
    <t>Projects under development</t>
  </si>
  <si>
    <t>Project</t>
  </si>
  <si>
    <t>Unit ID</t>
  </si>
  <si>
    <t>Unit Status</t>
  </si>
  <si>
    <t>Full Commercial Use Date</t>
  </si>
  <si>
    <t>TBA</t>
  </si>
  <si>
    <t>No</t>
  </si>
  <si>
    <t>Yes</t>
  </si>
  <si>
    <t>NS</t>
  </si>
  <si>
    <t>Disclaimer</t>
  </si>
  <si>
    <t>This document is subject to an important disclaimer that limits or excludes AEMO's liability.</t>
  </si>
  <si>
    <t>Status</t>
  </si>
  <si>
    <t>Coal</t>
  </si>
  <si>
    <t>Gas other</t>
  </si>
  <si>
    <t>Biomass</t>
  </si>
  <si>
    <t>Other</t>
  </si>
  <si>
    <t>Existing</t>
  </si>
  <si>
    <t>Existing less Announced Withdrawal</t>
  </si>
  <si>
    <t>Committed</t>
  </si>
  <si>
    <t>Proposed</t>
  </si>
  <si>
    <t>Withdrawn</t>
  </si>
  <si>
    <t>Note: Existing includes Announced Withdrawal</t>
  </si>
  <si>
    <t>summary_status</t>
  </si>
  <si>
    <t>nameplatecapacity_mw_max</t>
  </si>
  <si>
    <t>capacity_empty</t>
  </si>
  <si>
    <t>region</t>
  </si>
  <si>
    <t>summary_bucket</t>
  </si>
  <si>
    <t>Publicly Announced</t>
  </si>
  <si>
    <t>Com*</t>
  </si>
  <si>
    <t>Storage</t>
  </si>
  <si>
    <t>Infigen Energy</t>
  </si>
  <si>
    <t>Renew Estate</t>
  </si>
  <si>
    <t>120</t>
  </si>
  <si>
    <t>Emerging</t>
  </si>
  <si>
    <t>112</t>
  </si>
  <si>
    <t>Vena Energy</t>
  </si>
  <si>
    <t>Units 1 to n</t>
  </si>
  <si>
    <t>150</t>
  </si>
  <si>
    <t>100</t>
  </si>
  <si>
    <t>50</t>
  </si>
  <si>
    <t>Neoen</t>
  </si>
  <si>
    <t>Oct 2018</t>
  </si>
  <si>
    <t>Sep 2020</t>
  </si>
  <si>
    <t>90</t>
  </si>
  <si>
    <t>15</t>
  </si>
  <si>
    <t>300</t>
  </si>
  <si>
    <t>110</t>
  </si>
  <si>
    <t>350</t>
  </si>
  <si>
    <t>1000</t>
  </si>
  <si>
    <t>25</t>
  </si>
  <si>
    <t>250</t>
  </si>
  <si>
    <t>Dec 2022</t>
  </si>
  <si>
    <t>500</t>
  </si>
  <si>
    <t>ESCO Pacific</t>
  </si>
  <si>
    <t>55</t>
  </si>
  <si>
    <t>Jan 2020</t>
  </si>
  <si>
    <t>Overland Sun Farming</t>
  </si>
  <si>
    <t>First Solar Australia Pty Ltd</t>
  </si>
  <si>
    <t>60</t>
  </si>
  <si>
    <t>Aldoga Solar Farm</t>
  </si>
  <si>
    <t>Acciona Energy Australia Global</t>
  </si>
  <si>
    <t>265</t>
  </si>
  <si>
    <t>Aramara Solar Farm</t>
  </si>
  <si>
    <t>140</t>
  </si>
  <si>
    <t>Archer Point Wind Farm</t>
  </si>
  <si>
    <t>Wind Power Queensland Pty Ltd</t>
  </si>
  <si>
    <t>Units 1 - 60</t>
  </si>
  <si>
    <t>0 - 120</t>
  </si>
  <si>
    <t>Baking Board Solar Farm Chinchilla</t>
  </si>
  <si>
    <t>Chinchilla Solar Pty Ltd</t>
  </si>
  <si>
    <t>14.7</t>
  </si>
  <si>
    <t>Baralaba Solar Farm</t>
  </si>
  <si>
    <t>FRV Services Australia Pty Ltd</t>
  </si>
  <si>
    <t>Ingeteam Sun Power Max inverter</t>
  </si>
  <si>
    <t>Bluff Solar Farm</t>
  </si>
  <si>
    <t>Bouldercombe Solar Farm</t>
  </si>
  <si>
    <t>EEW Eco Energy World Ltd</t>
  </si>
  <si>
    <t>Bowen Solar Farm</t>
  </si>
  <si>
    <t>31 - 40</t>
  </si>
  <si>
    <t>Broadlea Solar Farm</t>
  </si>
  <si>
    <t>EEW Eco Energy World</t>
  </si>
  <si>
    <t>Broadlea Solar</t>
  </si>
  <si>
    <t>Darling Downs Solar Farm Pty Ltd</t>
  </si>
  <si>
    <t>BSF CL1</t>
  </si>
  <si>
    <t>Bulli Creek Solar Farm</t>
  </si>
  <si>
    <t>Units 1-240</t>
  </si>
  <si>
    <t>1200</t>
  </si>
  <si>
    <t>Lyon Solar</t>
  </si>
  <si>
    <t>Childers Solar Farm</t>
  </si>
  <si>
    <t>Childers Solar Pty Ltd</t>
  </si>
  <si>
    <t>56</t>
  </si>
  <si>
    <t>Chinchilla Solar Farm - First Solar</t>
  </si>
  <si>
    <t>Clarke Creek Solar Farm</t>
  </si>
  <si>
    <t>100 - 350</t>
  </si>
  <si>
    <t>Clermont Asset Co Pty Ltd as Trustee for Clerrmont Solar Unit Trust</t>
  </si>
  <si>
    <t>92.5</t>
  </si>
  <si>
    <t>Collinsville North Solar</t>
  </si>
  <si>
    <t>Jun 2020</t>
  </si>
  <si>
    <t>42.5</t>
  </si>
  <si>
    <t>Aug 2018</t>
  </si>
  <si>
    <t>Columboola</t>
  </si>
  <si>
    <t>Luminous Energy</t>
  </si>
  <si>
    <t>PV Panels</t>
  </si>
  <si>
    <t>324</t>
  </si>
  <si>
    <t>Jun 2019</t>
  </si>
  <si>
    <t>Dalby</t>
  </si>
  <si>
    <t>unit 1 -19</t>
  </si>
  <si>
    <t>30</t>
  </si>
  <si>
    <t>167.5</t>
  </si>
  <si>
    <t>Delga Solar Farm</t>
  </si>
  <si>
    <t>Shell Australia</t>
  </si>
  <si>
    <t>Dysart Solar Farm RED</t>
  </si>
  <si>
    <t>Tilt Renewables</t>
  </si>
  <si>
    <t>Emerald Solar Park</t>
  </si>
  <si>
    <t>72</t>
  </si>
  <si>
    <t>Forsayth Wind Farm</t>
  </si>
  <si>
    <t>Units 1-30</t>
  </si>
  <si>
    <t>Grosvenor 2 Waste Coal Mine Gas Power Station</t>
  </si>
  <si>
    <t>1-5</t>
  </si>
  <si>
    <t>15.205</t>
  </si>
  <si>
    <t>Group Linen - Maryborough</t>
  </si>
  <si>
    <t>Group Linen</t>
  </si>
  <si>
    <t>Units 1 - 5</t>
  </si>
  <si>
    <t>0.1656</t>
  </si>
  <si>
    <t>Sep 2018</t>
  </si>
  <si>
    <t>Group Linen - Prince Charles</t>
  </si>
  <si>
    <t>Units 1 - 10</t>
  </si>
  <si>
    <t>0.3312</t>
  </si>
  <si>
    <t>Group Linen - Princess Alexandra</t>
  </si>
  <si>
    <t>1-10</t>
  </si>
  <si>
    <t>Gympie Regional Energy Hub - Stage 1</t>
  </si>
  <si>
    <t>SolarQ Pty Ltd</t>
  </si>
  <si>
    <t>Unit 1 to 4</t>
  </si>
  <si>
    <t>Nov 2022</t>
  </si>
  <si>
    <t>Gympie Regional Energy Hub - Stage 2</t>
  </si>
  <si>
    <t>Gympie Regional Energy Hub - Stage 3</t>
  </si>
  <si>
    <t>1050</t>
  </si>
  <si>
    <t>Hamilton Solar Farm</t>
  </si>
  <si>
    <t>Hamilton Solar Farm Pty Ltd</t>
  </si>
  <si>
    <t>57.5</t>
  </si>
  <si>
    <t>Pacific Hydro Haughton Solar Farm Pty Ltd</t>
  </si>
  <si>
    <t>High Road</t>
  </si>
  <si>
    <t>59</t>
  </si>
  <si>
    <t>Hughenden Sun Farm</t>
  </si>
  <si>
    <t>Overland Sun Farming Company Pty Ltd</t>
  </si>
  <si>
    <t>18</t>
  </si>
  <si>
    <t>Kaban Green Power Hub - BESS</t>
  </si>
  <si>
    <t>Kaban Green Power Hub - Wind Farm</t>
  </si>
  <si>
    <t>1-29</t>
  </si>
  <si>
    <t>Kelsey Creek Solar Farm</t>
  </si>
  <si>
    <t>BayWa r.e. Solar Project Pty Ltd</t>
  </si>
  <si>
    <t>Windlab / Eurus</t>
  </si>
  <si>
    <t>Windlab/Eurus</t>
  </si>
  <si>
    <t>43.2</t>
  </si>
  <si>
    <t>Kidston Pumped Storage Hydro Project 250MW</t>
  </si>
  <si>
    <t>HYD1 and HYD2</t>
  </si>
  <si>
    <t>Kidston Solar Project Phase Two 270MW</t>
  </si>
  <si>
    <t>KSP2 - 1 Unit</t>
  </si>
  <si>
    <t>270</t>
  </si>
  <si>
    <t>Kidston Stage 3 Wind Project</t>
  </si>
  <si>
    <t>33</t>
  </si>
  <si>
    <t>Kingaroy Solar Farm</t>
  </si>
  <si>
    <t>Kingaroy Operationsco Pty Ltd</t>
  </si>
  <si>
    <t>Koberinga Solar Farm</t>
  </si>
  <si>
    <t>Lake Somerset</t>
  </si>
  <si>
    <t>Seqwater</t>
  </si>
  <si>
    <t>Lakeland 2</t>
  </si>
  <si>
    <t>Kawa Australia Pty Ltd Trading as Conergy</t>
  </si>
  <si>
    <t>20</t>
  </si>
  <si>
    <t>Lakeland Wind Farm</t>
  </si>
  <si>
    <t>Lakeland Wind Farm Pty Ltd</t>
  </si>
  <si>
    <t>104.4</t>
  </si>
  <si>
    <t>Lilyvale Asset Co Pty Ltd ATF Lilyvale Asset Trust</t>
  </si>
  <si>
    <t>Lockyer Valley Energy Project</t>
  </si>
  <si>
    <t>Quinbrook Infrastructure Partners</t>
  </si>
  <si>
    <t>Longreach Solar Farm</t>
  </si>
  <si>
    <t>Maryborough Solar Farm</t>
  </si>
  <si>
    <t>Maryborough Solar Pty Ltd</t>
  </si>
  <si>
    <t>29.9</t>
  </si>
  <si>
    <t>Matthew Flinders College Senior</t>
  </si>
  <si>
    <t>Matthew Flinders Anglican College</t>
  </si>
  <si>
    <t>0.19872</t>
  </si>
  <si>
    <t>McIntyre</t>
  </si>
  <si>
    <t>1-100</t>
  </si>
  <si>
    <t>Middlemount Sun Farm</t>
  </si>
  <si>
    <t>26</t>
  </si>
  <si>
    <t>Miles Solar Project</t>
  </si>
  <si>
    <t>Mirani Solar Farm</t>
  </si>
  <si>
    <t>180.5</t>
  </si>
  <si>
    <t>Mt Cotton Biomass Cogeneration Power Station</t>
  </si>
  <si>
    <t>Darwalla Milling Co Pty Ltd</t>
  </si>
  <si>
    <t>Wood Waste</t>
  </si>
  <si>
    <t>7.6</t>
  </si>
  <si>
    <t>North Qld Bio-Energy Plant</t>
  </si>
  <si>
    <t>North Queensland Bio-Energy Corporation Limited</t>
  </si>
  <si>
    <t>1-3</t>
  </si>
  <si>
    <t>120 - 150</t>
  </si>
  <si>
    <t>North Queensland Solar Farm</t>
  </si>
  <si>
    <t>KCSF Consortium</t>
  </si>
  <si>
    <t>RE Oakey Pty Ltd</t>
  </si>
  <si>
    <t>Canadian Solar Australia Pty Ltd</t>
  </si>
  <si>
    <t>Rodds Bay Solar Farm</t>
  </si>
  <si>
    <t>Rollingstone Solar Farm</t>
  </si>
  <si>
    <t>Ross River Operations Pty Ltd</t>
  </si>
  <si>
    <t>Rugby Run Solar Farm</t>
  </si>
  <si>
    <t>Adani Rugby Run Pty Ltd</t>
  </si>
  <si>
    <t>65</t>
  </si>
  <si>
    <t>Dec 2018</t>
  </si>
  <si>
    <t>Susan River Solar Farm</t>
  </si>
  <si>
    <t>Susan River Solar Pty Ltd</t>
  </si>
  <si>
    <t>Tableland Mill (expansion)</t>
  </si>
  <si>
    <t>24</t>
  </si>
  <si>
    <t>Teebar Solar One</t>
  </si>
  <si>
    <t>Teebar Clean Energy Pty Ltd</t>
  </si>
  <si>
    <t>1 - 21</t>
  </si>
  <si>
    <t>52.5</t>
  </si>
  <si>
    <t>Jul 2019</t>
  </si>
  <si>
    <t>Tieri Solar Farm</t>
  </si>
  <si>
    <t>1-50</t>
  </si>
  <si>
    <t>Wandoan South Solar</t>
  </si>
  <si>
    <t>Vena Evergy</t>
  </si>
  <si>
    <t>650</t>
  </si>
  <si>
    <t>Warwick Solar Farm 1</t>
  </si>
  <si>
    <t>Warwick Operationsco Pty Ltd</t>
  </si>
  <si>
    <t>Units 1-8</t>
  </si>
  <si>
    <t>Warwick Solar Farm 2</t>
  </si>
  <si>
    <t>32.1</t>
  </si>
  <si>
    <t>Western Downs Green Power Hub</t>
  </si>
  <si>
    <t>Western Downs Solar Farm</t>
  </si>
  <si>
    <t>Mar 2021</t>
  </si>
  <si>
    <t>Whitsunday Solar Farm Pty Ltd</t>
  </si>
  <si>
    <t>Windy Hill II</t>
  </si>
  <si>
    <t>10 - 30</t>
  </si>
  <si>
    <t>Sep 2023</t>
  </si>
  <si>
    <t>Yarranlea Solar</t>
  </si>
  <si>
    <t>Risen Energy Australia</t>
  </si>
  <si>
    <t>102.5</t>
  </si>
  <si>
    <t>Aug 2019</t>
  </si>
  <si>
    <t>Yuleba North Solar Project</t>
  </si>
  <si>
    <t>Please read the full disclaimer at</t>
  </si>
  <si>
    <t>http://www.aemo.com.au/Electricity/National-Electricity-Market-NEM/Planning-and-forecasting/Generation-information</t>
  </si>
  <si>
    <t>Queensland Summary</t>
  </si>
  <si>
    <t>Changes since last update</t>
  </si>
  <si>
    <t xml:space="preserve">Generation withdrawals  </t>
  </si>
  <si>
    <t>No generators withdrawn.</t>
  </si>
  <si>
    <t xml:space="preserve">Announced withdrawals (i.e. Mothballed, Seasonal Shut down etc.)           </t>
  </si>
  <si>
    <r>
      <t>Mackay GT Power Station:</t>
    </r>
    <r>
      <rPr>
        <sz val="9"/>
        <color theme="1"/>
        <rFont val="Arial"/>
        <family val="2"/>
      </rPr>
      <t xml:space="preserve"> Stanwell Corporation advises that Mackay GT (34 MW) will be retired at the end of financial year 2020-21.</t>
    </r>
  </si>
  <si>
    <t>Committed projects</t>
  </si>
  <si>
    <t xml:space="preserve">Proposed projects </t>
  </si>
  <si>
    <t>Please refer to information presented in the worksheet titled 'New Developments'.</t>
  </si>
  <si>
    <t xml:space="preserve">Plant limitations </t>
  </si>
  <si>
    <t>Queensland existing and potential new developments by generation type (MW)</t>
  </si>
  <si>
    <t>Queensland Change Log</t>
  </si>
  <si>
    <t>Lists all key updates to new development projects and existing generation information between publication dates since the 2012 ESOO.</t>
  </si>
  <si>
    <t>Publication date:</t>
  </si>
  <si>
    <r>
      <rPr>
        <b/>
        <sz val="9"/>
        <rFont val="Arial"/>
        <family val="2"/>
      </rPr>
      <t>Solar Dawn Project</t>
    </r>
    <r>
      <rPr>
        <sz val="9"/>
        <rFont val="Arial"/>
        <family val="2"/>
      </rPr>
      <t>: Areva and the Solar Dawn Consortium advised it would no longer develop the proposed 250 MW solar thermal power facility in South-West Queensland.</t>
    </r>
  </si>
  <si>
    <r>
      <rPr>
        <b/>
        <sz val="9"/>
        <rFont val="Arial"/>
        <family val="2"/>
      </rPr>
      <t>Tarong Power Station:</t>
    </r>
    <r>
      <rPr>
        <sz val="9"/>
        <rFont val="Arial"/>
        <family val="2"/>
      </rPr>
      <t xml:space="preserve"> Stanwell Corporation advises that the Tarong plant has revised its available capacity from 1,400 MW to 700 MW (-700 MW) in summer and winter, due to the withdrawal of service of Unit 2 (DUID TARONG#2) in October 2012 and Unit 4 (DUID TARONG#4) in December 2012, both for a period of at least two years or until wholesale electricity demand improves.</t>
    </r>
  </si>
  <si>
    <r>
      <rPr>
        <b/>
        <sz val="9"/>
        <rFont val="Arial"/>
        <family val="2"/>
      </rPr>
      <t xml:space="preserve">Collinsville Power Station: </t>
    </r>
    <r>
      <rPr>
        <sz val="9"/>
        <rFont val="Arial"/>
        <family val="2"/>
      </rPr>
      <t>Ratch Australia advises that the Collinsville plant has revised its available capacity from 190 MW to 0 MW (-190 MW) in summer and winter, due to the withdrawal of service of all generation units  from 31 December 2012, until wholesale electricity demand improves.</t>
    </r>
  </si>
  <si>
    <r>
      <rPr>
        <b/>
        <sz val="9"/>
        <color theme="1"/>
        <rFont val="Arial"/>
        <family val="2"/>
      </rPr>
      <t>Millmerran Power Station:</t>
    </r>
    <r>
      <rPr>
        <sz val="9"/>
        <color theme="1"/>
        <rFont val="Arial"/>
        <family val="2"/>
      </rPr>
      <t xml:space="preserve"> Millmerran Power Partners advises that the Millmerran plant has revised its available capacity from 856 MW to 760 MW (-96 MW) in summer, based on operating experience on higher temperature days.</t>
    </r>
  </si>
  <si>
    <r>
      <rPr>
        <b/>
        <sz val="9"/>
        <color theme="1"/>
        <rFont val="Arial"/>
        <family val="2"/>
      </rPr>
      <t xml:space="preserve">Braemar Power Station: </t>
    </r>
    <r>
      <rPr>
        <sz val="9"/>
        <color theme="1"/>
        <rFont val="Arial"/>
        <family val="2"/>
      </rPr>
      <t>Alinta Energy advises that Braemar's available capacity has been revised from 435 MW to 480 MW (+45 MW) in summer, due to use of Evaporative Cooling and Peak Firing of the units.</t>
    </r>
  </si>
  <si>
    <r>
      <rPr>
        <b/>
        <sz val="9"/>
        <color theme="1"/>
        <rFont val="Arial"/>
        <family val="2"/>
      </rPr>
      <t>Braemar Power Station:</t>
    </r>
    <r>
      <rPr>
        <sz val="9"/>
        <color theme="1"/>
        <rFont val="Arial"/>
        <family val="2"/>
      </rPr>
      <t xml:space="preserve"> Alinta Energy advises that Braemar's available capacity has been revised from 435 MW to 465 MW (+30 MW) in summer (an increase from last years ESOO), due to the regular use of Evaporative Cooling and Peak Firing of the units. These modes of operation result in the units achieving higher levels of output than would be typically expected during periods of high temperature. </t>
    </r>
  </si>
  <si>
    <r>
      <rPr>
        <b/>
        <sz val="9"/>
        <color theme="1"/>
        <rFont val="Arial"/>
        <family val="2"/>
      </rPr>
      <t>Darling Downs Power Station</t>
    </r>
    <r>
      <rPr>
        <sz val="9"/>
        <color theme="1"/>
        <rFont val="Arial"/>
        <family val="2"/>
      </rPr>
      <t>: Origin Energy advises that Darling Downs available capacity has been revised from 605 MW to 580 MW (-25 MW) in summer, reflecting capability at higher temperatures.</t>
    </r>
  </si>
  <si>
    <r>
      <rPr>
        <b/>
        <sz val="9"/>
        <color theme="1"/>
        <rFont val="Arial"/>
        <family val="2"/>
      </rPr>
      <t xml:space="preserve">Kogan Creek Solar Boost: </t>
    </r>
    <r>
      <rPr>
        <sz val="9"/>
        <color theme="1"/>
        <rFont val="Arial"/>
        <family val="2"/>
      </rPr>
      <t>CS Energy advises that the Kogan Creek Solar Boost project is now a committed project and due to be completed in Jan 2014.</t>
    </r>
  </si>
  <si>
    <r>
      <rPr>
        <b/>
        <sz val="9"/>
        <color theme="1"/>
        <rFont val="Arial"/>
        <family val="2"/>
      </rPr>
      <t>Westlink Power Project:</t>
    </r>
    <r>
      <rPr>
        <sz val="9"/>
        <color theme="1"/>
        <rFont val="Arial"/>
        <family val="2"/>
      </rPr>
      <t xml:space="preserve"> Westlink Pty Ltd as trustee for Westlink Industrial Trust advised that</t>
    </r>
    <r>
      <rPr>
        <sz val="9"/>
        <color rgb="FF000000"/>
        <rFont val="Arial"/>
        <family val="2"/>
      </rPr>
      <t xml:space="preserve"> </t>
    </r>
    <r>
      <rPr>
        <b/>
        <sz val="9"/>
        <color theme="1"/>
        <rFont val="Arial"/>
        <family val="2"/>
      </rPr>
      <t xml:space="preserve">Westlink Power Project </t>
    </r>
    <r>
      <rPr>
        <sz val="9"/>
        <color rgb="FF1F497D"/>
        <rFont val="Arial"/>
        <family val="2"/>
      </rPr>
      <t>(</t>
    </r>
    <r>
      <rPr>
        <sz val="9"/>
        <color theme="1"/>
        <rFont val="Arial"/>
        <family val="2"/>
      </rPr>
      <t>Stage 1-3 up to 1000 MW), has revised construction start estimates by 1 year – from 2015 to 2016 for stage 1, from 2017 to 2018 for stage 2 and from 2019 to 2020 for stage 3. This remains a publicly announced project only.</t>
    </r>
  </si>
  <si>
    <r>
      <rPr>
        <b/>
        <sz val="9"/>
        <color theme="1"/>
        <rFont val="Arial"/>
        <family val="2"/>
      </rPr>
      <t xml:space="preserve">Swanbank E Gas Power Station: </t>
    </r>
    <r>
      <rPr>
        <sz val="9"/>
        <color theme="1"/>
        <rFont val="Arial"/>
        <family val="2"/>
      </rPr>
      <t>Stanwell Corporation advises that the existing scheduled Swanbank E Gas Power Station (385 MW combined cycle gas turbine) will withdraw from service for up to three years from 1 October 2014.</t>
    </r>
  </si>
  <si>
    <r>
      <t>Collinsville Power Station:</t>
    </r>
    <r>
      <rPr>
        <sz val="9"/>
        <color theme="1"/>
        <rFont val="Arial"/>
        <family val="2"/>
      </rPr>
      <t xml:space="preserve"> Ratch Australia advised that Collinsville Power Station will be retired in June 2016.</t>
    </r>
  </si>
  <si>
    <r>
      <t xml:space="preserve">Daandine Power Station: </t>
    </r>
    <r>
      <rPr>
        <sz val="9"/>
        <color theme="1"/>
        <rFont val="Arial"/>
        <family val="2"/>
      </rPr>
      <t>Energy infrastructure Investments Pty Ltd advised that Daandine Power Station will be retired in June 2022.</t>
    </r>
  </si>
  <si>
    <r>
      <t xml:space="preserve">Mt Stuart Power Station: </t>
    </r>
    <r>
      <rPr>
        <sz val="9"/>
        <color theme="1"/>
        <rFont val="Arial"/>
        <family val="2"/>
      </rPr>
      <t>Origin Energy Mt Stuart advised that Mt Stuart Power Station will be retired in July 2023.</t>
    </r>
  </si>
  <si>
    <r>
      <rPr>
        <b/>
        <sz val="9"/>
        <color theme="1"/>
        <rFont val="Arial"/>
        <family val="2"/>
      </rPr>
      <t>Swanbank E Gas Power Station:</t>
    </r>
    <r>
      <rPr>
        <sz val="9"/>
        <color theme="1"/>
        <rFont val="Arial"/>
        <family val="2"/>
      </rPr>
      <t xml:space="preserve"> Stanwell Corporation advises that the existing scheduled Swanbank E Gas Power Station (385 MW combined cycle gas turbine) will be placed in cold storage from October 2014.</t>
    </r>
  </si>
  <si>
    <r>
      <rPr>
        <b/>
        <sz val="9"/>
        <color theme="1"/>
        <rFont val="Arial"/>
        <family val="2"/>
      </rPr>
      <t xml:space="preserve">Kogan Creek Solar Boost: </t>
    </r>
    <r>
      <rPr>
        <sz val="9"/>
        <color theme="1"/>
        <rFont val="Arial"/>
        <family val="2"/>
      </rPr>
      <t>CS Energy advises that the Kogan Creek Solar Boost project (44 MW) is now a committed project and due to be completed in July 2015. Note that the 44 MW capacity is not additional to the 730/744 MW summer/winter capacities of Kogan Creek, rather it is a contribution towards the total generation.</t>
    </r>
  </si>
  <si>
    <r>
      <rPr>
        <b/>
        <sz val="9"/>
        <rFont val="Arial"/>
        <family val="2"/>
      </rPr>
      <t xml:space="preserve">Cook Shire Solar Project: </t>
    </r>
    <r>
      <rPr>
        <sz val="9"/>
        <rFont val="Arial"/>
        <family val="2"/>
      </rPr>
      <t>Lyon Infrastructure announces the Cook Shire Solar (26 MW) project in far north Queensland. Construction is to commence in December 2014 and commissioning is planned for July 2015.</t>
    </r>
  </si>
  <si>
    <r>
      <rPr>
        <b/>
        <sz val="9"/>
        <color theme="1"/>
        <rFont val="Arial"/>
        <family val="2"/>
      </rPr>
      <t xml:space="preserve">Swanbank E Gas Power Station: </t>
    </r>
    <r>
      <rPr>
        <sz val="9"/>
        <color theme="1"/>
        <rFont val="Arial"/>
        <family val="2"/>
      </rPr>
      <t>Stanwell Corporation advises that the existing scheduled Swanbank E Gas Power Station (385 MW combined cycle gas turbine) will be placed in cold storage from December 2014.</t>
    </r>
  </si>
  <si>
    <r>
      <rPr>
        <b/>
        <sz val="9"/>
        <color theme="1"/>
        <rFont val="Arial"/>
        <family val="2"/>
      </rPr>
      <t>Kogan Creek Solar Boost:</t>
    </r>
    <r>
      <rPr>
        <sz val="9"/>
        <color theme="1"/>
        <rFont val="Arial"/>
        <family val="2"/>
      </rPr>
      <t xml:space="preserve"> CS Energy advises that the Kogan Creek Solar Boost project (44 MW) due to be completed in late 2016.</t>
    </r>
  </si>
  <si>
    <r>
      <rPr>
        <b/>
        <sz val="9"/>
        <color theme="1"/>
        <rFont val="Arial"/>
        <family val="2"/>
      </rPr>
      <t xml:space="preserve">Tarong Power Station: </t>
    </r>
    <r>
      <rPr>
        <sz val="9"/>
        <color theme="1"/>
        <rFont val="Arial"/>
        <family val="2"/>
      </rPr>
      <t>Stanwell Corporation advises that the Tarong station will revise its available capacity revised to 1400 MW (+350 MW) in winter 2016, due to the return of service of Unit 2 (DUID TARONG#2).</t>
    </r>
  </si>
  <si>
    <r>
      <t xml:space="preserve">Mackay GT Power Station: </t>
    </r>
    <r>
      <rPr>
        <sz val="9"/>
        <rFont val="Arial"/>
        <family val="2"/>
      </rPr>
      <t>Stanwell Corporation advised that Mackay GT will be retired at the end of financial year 2016-17.</t>
    </r>
  </si>
  <si>
    <r>
      <rPr>
        <b/>
        <sz val="9"/>
        <rFont val="Arial"/>
        <family val="2"/>
      </rPr>
      <t xml:space="preserve">Swanbank E: </t>
    </r>
    <r>
      <rPr>
        <sz val="9"/>
        <rFont val="Arial"/>
        <family val="2"/>
      </rPr>
      <t>has been placed into cold storage until 1 July 2017. So at this stage will be available in July 2017, Summer 2018 and beyond.</t>
    </r>
  </si>
  <si>
    <r>
      <rPr>
        <b/>
        <sz val="9"/>
        <rFont val="Arial"/>
        <family val="2"/>
      </rPr>
      <t xml:space="preserve">Barcaldine Power Station: </t>
    </r>
    <r>
      <rPr>
        <sz val="9"/>
        <rFont val="Arial"/>
        <family val="2"/>
      </rPr>
      <t>Correction on the 18-MW Steam Turbine being already decommissioned.</t>
    </r>
  </si>
  <si>
    <r>
      <rPr>
        <b/>
        <sz val="9"/>
        <rFont val="Arial"/>
        <family val="2"/>
      </rPr>
      <t xml:space="preserve">New Development: </t>
    </r>
    <r>
      <rPr>
        <sz val="9"/>
        <rFont val="Arial"/>
        <family val="2"/>
      </rPr>
      <t>Oakey Solar Farm, Longreach Solar Farm, Baralaba Solar Farm, Kidston Solar Project, Ebenezer Solar Project, North Queensland Solar Farm, Kennedy Energy Park, Darling Downs Solar Farm, Hughenden Sun Farm, Collinsville Solar Power Station, Landfill Gas Industries biogas-fired generators, Barcaldine Remote Community Solar Farm are added to the list.</t>
    </r>
  </si>
  <si>
    <r>
      <t xml:space="preserve">Kogan Creek Solar Boost: </t>
    </r>
    <r>
      <rPr>
        <sz val="9"/>
        <rFont val="Arial"/>
        <family val="2"/>
      </rPr>
      <t>CS Energy stated that the solar boost will not be completed.</t>
    </r>
  </si>
  <si>
    <r>
      <t xml:space="preserve">Tarong Power Station: </t>
    </r>
    <r>
      <rPr>
        <sz val="9"/>
        <rFont val="Arial"/>
        <family val="2"/>
      </rPr>
      <t>Stanwell Corporation advises that Tarong Unit 2 has returned to service.</t>
    </r>
  </si>
  <si>
    <r>
      <t xml:space="preserve">Oaky Creek 2: </t>
    </r>
    <r>
      <rPr>
        <sz val="9"/>
        <rFont val="Arial"/>
        <family val="2"/>
      </rPr>
      <t>EDL OCI advises that Oaky Creek 2 (15MW) is a committed project.</t>
    </r>
  </si>
  <si>
    <r>
      <t xml:space="preserve">Mt Stuart Power Station: </t>
    </r>
    <r>
      <rPr>
        <sz val="9"/>
        <color theme="1"/>
        <rFont val="Arial"/>
        <family val="2"/>
      </rPr>
      <t>Origin Energy advised that Mt Stuart Power Station (419 MW) will no longer retire in July 2023.</t>
    </r>
  </si>
  <si>
    <r>
      <t xml:space="preserve">Mackay GT Power Station: </t>
    </r>
    <r>
      <rPr>
        <sz val="9"/>
        <rFont val="Arial"/>
        <family val="2"/>
      </rPr>
      <t>Stanwell Corporation advised that Mackay GT (30 MW) will no longer be retired at the end of financial year 2016-17.</t>
    </r>
  </si>
  <si>
    <r>
      <t xml:space="preserve">New Developments: </t>
    </r>
    <r>
      <rPr>
        <sz val="9"/>
        <rFont val="Arial"/>
        <family val="2"/>
      </rPr>
      <t>Clare Solar Farm, Lilyvale Solar Farm.</t>
    </r>
  </si>
  <si>
    <r>
      <t>Swanbank E GT:</t>
    </r>
    <r>
      <rPr>
        <sz val="9"/>
        <rFont val="Arial"/>
        <family val="2"/>
      </rPr>
      <t xml:space="preserve"> Stanwell advises that Swanbank E will no longer be returned to service on 01/07/2017 –  Expected to return in Summer 2018.</t>
    </r>
  </si>
  <si>
    <r>
      <t>Oaky Creek 2:</t>
    </r>
    <r>
      <rPr>
        <sz val="9"/>
        <rFont val="Arial"/>
        <family val="2"/>
      </rPr>
      <t xml:space="preserve"> EDL OCI advises that Oaky Creek 2 (15 MW) is now completed and in full commercial operation since August 2016.</t>
    </r>
  </si>
  <si>
    <t>None to report.</t>
  </si>
  <si>
    <r>
      <rPr>
        <b/>
        <sz val="9"/>
        <rFont val="Arial"/>
        <family val="2"/>
      </rPr>
      <t>Barcaldine Remote Community Solar Farm:</t>
    </r>
    <r>
      <rPr>
        <sz val="9"/>
        <rFont val="Arial"/>
        <family val="2"/>
      </rPr>
      <t xml:space="preserve"> Barcaldine Remote Community Solar Farm Pty Ltd advises that Barcaldine Remote Community Solar Farm (20 MW) is now completed with full commercial having commenced in April 2017.</t>
    </r>
  </si>
  <si>
    <r>
      <t xml:space="preserve">Callide A: </t>
    </r>
    <r>
      <rPr>
        <sz val="9"/>
        <rFont val="Arial"/>
        <family val="2"/>
      </rPr>
      <t>Oxyfuel Technologies Pty Ltd advises that Callide A (30 MW) has been permanently decommissioned (withdrawn) since March 2015 and will be demolished and deregistered from the network in the future.</t>
    </r>
  </si>
  <si>
    <r>
      <rPr>
        <b/>
        <sz val="9"/>
        <rFont val="Arial"/>
        <family val="2"/>
      </rPr>
      <t>Clare Solar Farm:</t>
    </r>
    <r>
      <rPr>
        <sz val="9"/>
        <rFont val="Arial"/>
        <family val="2"/>
      </rPr>
      <t xml:space="preserve"> Clare Asset Co Pty Ltd (the Trustee for Clare Asset Trust) advises that the Clare Solar Farm (total of 150 MW nameplate) is a committed project.</t>
    </r>
  </si>
  <si>
    <r>
      <rPr>
        <b/>
        <sz val="9"/>
        <rFont val="Arial"/>
        <family val="2"/>
      </rPr>
      <t>Grosvenor 1:</t>
    </r>
    <r>
      <rPr>
        <sz val="9"/>
        <rFont val="Arial"/>
        <family val="2"/>
      </rPr>
      <t xml:space="preserve"> EDL Projects Australia Pty Ltd advises that Grosvenor 1 (21 MW) is now an existing generator with full commercial operation having commenced in April 2017.</t>
    </r>
  </si>
  <si>
    <r>
      <rPr>
        <b/>
        <sz val="9"/>
        <rFont val="Arial"/>
        <family val="2"/>
      </rPr>
      <t>Hamilton Solar Farm:</t>
    </r>
    <r>
      <rPr>
        <sz val="9"/>
        <rFont val="Arial"/>
        <family val="2"/>
      </rPr>
      <t> Hamilton Solar Farm Pty Ltd advises that Hamilton Solar Farm (57.5 MW) is now a committed project, with full commercial use expected March 2018.</t>
    </r>
  </si>
  <si>
    <r>
      <rPr>
        <b/>
        <sz val="9"/>
        <rFont val="Arial"/>
        <family val="2"/>
      </rPr>
      <t xml:space="preserve">Lakeland Solar and Storage Project: </t>
    </r>
    <r>
      <rPr>
        <sz val="9"/>
        <rFont val="Arial"/>
        <family val="2"/>
      </rPr>
      <t>Conergy advises that the committed Cook Shire Solar Storage Project is now called Lakeland Solar and Storage Project, with an updated nameplate capacity of 12.5 MW.</t>
    </r>
  </si>
  <si>
    <r>
      <rPr>
        <b/>
        <sz val="9"/>
        <rFont val="Arial"/>
        <family val="2"/>
      </rPr>
      <t>Mount Emerald:</t>
    </r>
    <r>
      <rPr>
        <sz val="9"/>
        <rFont val="Arial"/>
        <family val="2"/>
      </rPr>
      <t xml:space="preserve"> Ratch Australia advises that Mount Emerald (180.5 MW) is now a committed project with full commercial use expected September 2018.</t>
    </r>
  </si>
  <si>
    <r>
      <t>Swanbank E GT:</t>
    </r>
    <r>
      <rPr>
        <sz val="9"/>
        <rFont val="Arial"/>
        <family val="2"/>
      </rPr>
      <t xml:space="preserve"> Stanwell Corporation Limited advises that Swanbank E GT (385 MW) is currently in cold storage and at this time is scheduled to return to service on 1 December 2018.</t>
    </r>
  </si>
  <si>
    <r>
      <rPr>
        <b/>
        <sz val="9"/>
        <rFont val="Arial"/>
        <family val="2"/>
      </rPr>
      <t xml:space="preserve">Whitsunday Solar Farm: </t>
    </r>
    <r>
      <rPr>
        <sz val="9"/>
        <rFont val="Arial"/>
        <family val="2"/>
      </rPr>
      <t>Whitsunday Solar Farm Pty Ltd advises that Whitsunday Solar Farm (57.5 MW) is now a committed project, with full commercial use expected March 2018.</t>
    </r>
  </si>
  <si>
    <r>
      <rPr>
        <b/>
        <sz val="11"/>
        <color rgb="FF000000"/>
        <rFont val="Calibri"/>
        <family val="2"/>
        <scheme val="minor"/>
      </rPr>
      <t>Clare Solar Farm:</t>
    </r>
    <r>
      <rPr>
        <sz val="11"/>
        <color rgb="FF000000"/>
        <rFont val="Calibri"/>
        <family val="2"/>
        <scheme val="minor"/>
      </rPr>
      <t xml:space="preserve"> Clare Asset Co Pty Ltd ATF Clare Asset Trust advises that Clare Solar Farm (150MW) is a committed project.</t>
    </r>
  </si>
  <si>
    <r>
      <rPr>
        <b/>
        <sz val="11"/>
        <color rgb="FF000000"/>
        <rFont val="Calibri"/>
        <family val="2"/>
        <scheme val="minor"/>
      </rPr>
      <t>Collinsville Solar Power Station:</t>
    </r>
    <r>
      <rPr>
        <sz val="11"/>
        <color rgb="FF000000"/>
        <rFont val="Calibri"/>
        <family val="2"/>
        <scheme val="minor"/>
      </rPr>
      <t xml:space="preserve"> Ratch Australia Corporation advises that Collinsville Solar Power Station (42.5 MW) is a committed project. </t>
    </r>
  </si>
  <si>
    <r>
      <rPr>
        <b/>
        <sz val="11"/>
        <color rgb="FF000000"/>
        <rFont val="Calibri"/>
        <family val="2"/>
        <scheme val="minor"/>
      </rPr>
      <t>Coopers Gap Wind Farm:</t>
    </r>
    <r>
      <rPr>
        <sz val="11"/>
        <color rgb="FF000000"/>
        <rFont val="Calibri"/>
        <family val="2"/>
        <scheme val="minor"/>
      </rPr>
      <t xml:space="preserve"> PARF Company Pty Ltd, as a trustee for the Coopers Gap Project Trust advises that Coopers Gap Wind Farm (453 MW) is a committed project.</t>
    </r>
  </si>
  <si>
    <r>
      <rPr>
        <b/>
        <sz val="11"/>
        <color rgb="FF000000"/>
        <rFont val="Calibri"/>
        <family val="2"/>
        <scheme val="minor"/>
      </rPr>
      <t>Darling Downs Solar Farm:</t>
    </r>
    <r>
      <rPr>
        <sz val="11"/>
        <color rgb="FF000000"/>
        <rFont val="Calibri"/>
        <family val="2"/>
        <scheme val="minor"/>
      </rPr>
      <t xml:space="preserve"> APA advises that Darling Downs Solar Farm (110MW) is a committed project.</t>
    </r>
  </si>
  <si>
    <r>
      <rPr>
        <b/>
        <sz val="11"/>
        <color rgb="FF000000"/>
        <rFont val="Calibri"/>
        <family val="2"/>
        <scheme val="minor"/>
      </rPr>
      <t>Daydream Solar Farm:</t>
    </r>
    <r>
      <rPr>
        <sz val="11"/>
        <color rgb="FF000000"/>
        <rFont val="Calibri"/>
        <family val="2"/>
        <scheme val="minor"/>
      </rPr>
      <t xml:space="preserve"> Hayman Solar Farm Pty Ltd advises that Daydream Solar Farm (167.5MW) is a committed project.</t>
    </r>
  </si>
  <si>
    <r>
      <rPr>
        <b/>
        <sz val="11"/>
        <color rgb="FF000000"/>
        <rFont val="Calibri"/>
        <family val="2"/>
        <scheme val="minor"/>
      </rPr>
      <t>Dunblane Solar Farm:</t>
    </r>
    <r>
      <rPr>
        <sz val="11"/>
        <color rgb="FF000000"/>
        <rFont val="Calibri"/>
        <family val="2"/>
        <scheme val="minor"/>
      </rPr>
      <t xml:space="preserve"> YellowDot Energy Pty Ltd advises that Dunblane Solar Farm (7.2MW) is a committed project.</t>
    </r>
  </si>
  <si>
    <r>
      <rPr>
        <b/>
        <sz val="11"/>
        <color rgb="FF000000"/>
        <rFont val="Calibri"/>
        <family val="2"/>
        <scheme val="minor"/>
      </rPr>
      <t>Hamilton Solar Farm:</t>
    </r>
    <r>
      <rPr>
        <sz val="11"/>
        <color rgb="FF000000"/>
        <rFont val="Calibri"/>
        <family val="2"/>
        <scheme val="minor"/>
      </rPr>
      <t xml:space="preserve"> Hamilton Solar Farm Pty Ltd advises that Hamilton Solar Farm (57.5MW) is a committed project.</t>
    </r>
  </si>
  <si>
    <r>
      <rPr>
        <b/>
        <sz val="11"/>
        <color rgb="FF000000"/>
        <rFont val="Calibri"/>
        <family val="2"/>
        <scheme val="minor"/>
      </rPr>
      <t>Hayman Solar Farm:</t>
    </r>
    <r>
      <rPr>
        <sz val="11"/>
        <color rgb="FF000000"/>
        <rFont val="Calibri"/>
        <family val="2"/>
        <scheme val="minor"/>
      </rPr>
      <t xml:space="preserve"> Hayman Solar Farm Pty Ltd advises that Hayman Solar Farm (57.5 MW) is a committed project.</t>
    </r>
  </si>
  <si>
    <r>
      <rPr>
        <b/>
        <sz val="11"/>
        <color rgb="FF000000"/>
        <rFont val="Calibri"/>
        <family val="2"/>
        <scheme val="minor"/>
      </rPr>
      <t>Kennedy Energy Park:</t>
    </r>
    <r>
      <rPr>
        <sz val="11"/>
        <color rgb="FF000000"/>
        <rFont val="Calibri"/>
        <family val="2"/>
        <scheme val="minor"/>
      </rPr>
      <t xml:space="preserve"> Kennedy Energy Park Pty advises that Kennedy Energy Park (Solar (15 MW), Wind (43.2 MW), Storage (2 MW)) is a committed project.</t>
    </r>
  </si>
  <si>
    <r>
      <rPr>
        <b/>
        <sz val="11"/>
        <color rgb="FF000000"/>
        <rFont val="Calibri"/>
        <family val="2"/>
        <scheme val="minor"/>
      </rPr>
      <t>Kidston Solar Project:</t>
    </r>
    <r>
      <rPr>
        <sz val="11"/>
        <color rgb="FF000000"/>
        <rFont val="Calibri"/>
        <family val="2"/>
        <scheme val="minor"/>
      </rPr>
      <t xml:space="preserve"> Genex Power Ltd advises that Kidston Solar Project (50 MW) is a committed project.</t>
    </r>
  </si>
  <si>
    <r>
      <rPr>
        <b/>
        <sz val="11"/>
        <color rgb="FF000000"/>
        <rFont val="Calibri"/>
        <family val="2"/>
        <scheme val="minor"/>
      </rPr>
      <t>Lake Somerset:</t>
    </r>
    <r>
      <rPr>
        <sz val="11"/>
        <color rgb="FF000000"/>
        <rFont val="Calibri"/>
        <family val="2"/>
        <scheme val="minor"/>
      </rPr>
      <t xml:space="preserve"> Seqwater advises that Lake Somerset (4.3MW) is a committed project.</t>
    </r>
  </si>
  <si>
    <r>
      <rPr>
        <b/>
        <sz val="11"/>
        <color rgb="FF000000"/>
        <rFont val="Calibri"/>
        <family val="2"/>
        <scheme val="minor"/>
      </rPr>
      <t>Lakeland Solar and Storage Project:</t>
    </r>
    <r>
      <rPr>
        <sz val="11"/>
        <color rgb="FF000000"/>
        <rFont val="Calibri"/>
        <family val="2"/>
        <scheme val="minor"/>
      </rPr>
      <t xml:space="preserve"> Lakeland Solar &amp; Storage Pty Ltd advises that Lakeland Solar and Storage Project (12.5MW) is a committed project.</t>
    </r>
  </si>
  <si>
    <r>
      <rPr>
        <b/>
        <sz val="11"/>
        <color rgb="FF000000"/>
        <rFont val="Calibri"/>
        <family val="2"/>
        <scheme val="minor"/>
      </rPr>
      <t>Lilyvale Solar Farm:</t>
    </r>
    <r>
      <rPr>
        <sz val="11"/>
        <color rgb="FF000000"/>
        <rFont val="Calibri"/>
        <family val="2"/>
        <scheme val="minor"/>
      </rPr>
      <t xml:space="preserve"> Lilyvale Solar Farm (100 MW) is now reported as committed since FRV Services Australia Pty Ltd advises that it has commenced construction.</t>
    </r>
  </si>
  <si>
    <r>
      <rPr>
        <b/>
        <sz val="11"/>
        <color rgb="FF000000"/>
        <rFont val="Calibri"/>
        <family val="2"/>
        <scheme val="minor"/>
      </rPr>
      <t>Longreach Solar Farm:</t>
    </r>
    <r>
      <rPr>
        <sz val="11"/>
        <color rgb="FF000000"/>
        <rFont val="Calibri"/>
        <family val="2"/>
        <scheme val="minor"/>
      </rPr>
      <t xml:space="preserve"> Longreach HoldCo Pty Ltd advises that Longreach Solar Farm (15 MW) is a committed project.</t>
    </r>
  </si>
  <si>
    <r>
      <rPr>
        <b/>
        <sz val="11"/>
        <color rgb="FF000000"/>
        <rFont val="Calibri"/>
        <family val="2"/>
        <scheme val="minor"/>
      </rPr>
      <t>Mt Emerald Wind Farm:</t>
    </r>
    <r>
      <rPr>
        <sz val="11"/>
        <color rgb="FF000000"/>
        <rFont val="Calibri"/>
        <family val="2"/>
        <scheme val="minor"/>
      </rPr>
      <t xml:space="preserve"> Ratch Australia Corporation advises that Mt Emerald Wind Farm (180.5MW) is a committed project.</t>
    </r>
  </si>
  <si>
    <r>
      <rPr>
        <b/>
        <sz val="11"/>
        <color rgb="FF000000"/>
        <rFont val="Calibri"/>
        <family val="2"/>
        <scheme val="minor"/>
      </rPr>
      <t>Oakey 1 Solar Farm:</t>
    </r>
    <r>
      <rPr>
        <sz val="11"/>
        <color rgb="FF000000"/>
        <rFont val="Calibri"/>
        <family val="2"/>
        <scheme val="minor"/>
      </rPr>
      <t xml:space="preserve"> Oakey 1 AssetCo Pty Ltd advises that Oakey 1 Solar Farm (25MW) is a committed project.</t>
    </r>
  </si>
  <si>
    <r>
      <rPr>
        <b/>
        <sz val="11"/>
        <color rgb="FF000000"/>
        <rFont val="Calibri"/>
        <family val="2"/>
        <scheme val="minor"/>
      </rPr>
      <t>Ross River Solar Farm:</t>
    </r>
    <r>
      <rPr>
        <sz val="11"/>
        <color rgb="FF000000"/>
        <rFont val="Calibri"/>
        <family val="2"/>
        <scheme val="minor"/>
      </rPr>
      <t xml:space="preserve">  Ross River Solar Farm (116MW) is now reported as a committed project since Ross River Operations Pty Ltd advises that it has commenced construction.</t>
    </r>
  </si>
  <si>
    <r>
      <rPr>
        <b/>
        <sz val="11"/>
        <color rgb="FF000000"/>
        <rFont val="Calibri"/>
        <family val="2"/>
        <scheme val="minor"/>
      </rPr>
      <t xml:space="preserve">Rugby Run Solar Farm: </t>
    </r>
    <r>
      <rPr>
        <sz val="11"/>
        <color rgb="FF000000"/>
        <rFont val="Calibri"/>
        <family val="2"/>
        <scheme val="minor"/>
      </rPr>
      <t>Rugby Run Solar Farm (65MW) is now reported as a committed project since</t>
    </r>
    <r>
      <rPr>
        <b/>
        <sz val="11"/>
        <color rgb="FF000000"/>
        <rFont val="Calibri"/>
        <family val="2"/>
        <scheme val="minor"/>
      </rPr>
      <t xml:space="preserve"> </t>
    </r>
    <r>
      <rPr>
        <sz val="11"/>
        <color rgb="FF000000"/>
        <rFont val="Calibri"/>
        <family val="2"/>
        <scheme val="minor"/>
      </rPr>
      <t>Adani Rugby Run Pty Ltd advises that it has commenced construction.</t>
    </r>
  </si>
  <si>
    <r>
      <rPr>
        <b/>
        <sz val="11"/>
        <color rgb="FF000000"/>
        <rFont val="Calibri"/>
        <family val="2"/>
        <scheme val="minor"/>
      </rPr>
      <t>Sun Metals Solar Farm:</t>
    </r>
    <r>
      <rPr>
        <sz val="11"/>
        <color rgb="FF000000"/>
        <rFont val="Calibri"/>
        <family val="2"/>
        <scheme val="minor"/>
      </rPr>
      <t xml:space="preserve"> Sun Metals Solar Farm (124MW) is now reported as a committed project since Sun Metals Corporation Pty Ltd advises that it has commenced construction.</t>
    </r>
  </si>
  <si>
    <r>
      <rPr>
        <b/>
        <sz val="11"/>
        <color rgb="FF000000"/>
        <rFont val="Calibri"/>
        <family val="2"/>
        <scheme val="minor"/>
      </rPr>
      <t xml:space="preserve">Sunshine Coast Solar Farm: </t>
    </r>
    <r>
      <rPr>
        <sz val="11"/>
        <color rgb="FF000000"/>
        <rFont val="Calibri"/>
        <family val="2"/>
        <scheme val="minor"/>
      </rPr>
      <t>Sunshine Coast Regional Council advises that Sunshine Coast Solar Farm (15 MW) is a committed project.</t>
    </r>
  </si>
  <si>
    <r>
      <rPr>
        <b/>
        <sz val="11"/>
        <color rgb="FF000000"/>
        <rFont val="Calibri"/>
        <family val="2"/>
        <scheme val="minor"/>
      </rPr>
      <t>Swanbank E GT:</t>
    </r>
    <r>
      <rPr>
        <sz val="11"/>
        <color rgb="FF000000"/>
        <rFont val="Calibri"/>
        <family val="2"/>
        <scheme val="minor"/>
      </rPr>
      <t xml:space="preserve"> Stanwell Corporation Limited advises that Swanbank E GT (385 MW) has returned to service.</t>
    </r>
  </si>
  <si>
    <r>
      <rPr>
        <b/>
        <sz val="11"/>
        <color rgb="FF000000"/>
        <rFont val="Calibri"/>
        <family val="2"/>
        <scheme val="minor"/>
      </rPr>
      <t>Tableland Mill:</t>
    </r>
    <r>
      <rPr>
        <sz val="11"/>
        <color rgb="FF000000"/>
        <rFont val="Calibri"/>
        <family val="2"/>
        <scheme val="minor"/>
      </rPr>
      <t xml:space="preserve"> MSF Sugar advises Tableland Mill (24 MW) is a committed project.</t>
    </r>
  </si>
  <si>
    <r>
      <rPr>
        <b/>
        <sz val="11"/>
        <color rgb="FF000000"/>
        <rFont val="Calibri"/>
        <family val="2"/>
        <scheme val="minor"/>
      </rPr>
      <t>Whitsunday:</t>
    </r>
    <r>
      <rPr>
        <sz val="11"/>
        <color rgb="FF000000"/>
        <rFont val="Calibri"/>
        <family val="2"/>
        <scheme val="minor"/>
      </rPr>
      <t xml:space="preserve"> Whitsunday Solar Farm Pty Ltd advises that Whitsunday (57.5MW) is a committed project.</t>
    </r>
  </si>
  <si>
    <t>Temperature effects on generation</t>
  </si>
  <si>
    <t>The actual level of generation available at any particular time will depend on the condition of the generating plant. This includes factors such as age, outages, and wear. Another important factor with respect to output is the reduction in thermal efficiency as the temperature increases.</t>
  </si>
  <si>
    <t>Because temperature can affect plant generation capacities in different ways, basing generation capacities on region-specific reference temperatures facilitates more effective assessment of available generation capacity under weather conditions frequently associated with high demand.</t>
  </si>
  <si>
    <t>To produce the supply-demand outlook, AEMO — in consultation with the Jurisdictional Planning Bodies (JPBs) — undertakes the following:</t>
  </si>
  <si>
    <r>
      <rPr>
        <sz val="9"/>
        <color theme="1"/>
        <rFont val="Symbol"/>
        <family val="1"/>
        <charset val="2"/>
      </rPr>
      <t>·</t>
    </r>
    <r>
      <rPr>
        <sz val="7"/>
        <color theme="1"/>
        <rFont val="Times New Roman"/>
        <family val="1"/>
      </rPr>
      <t xml:space="preserve">      </t>
    </r>
    <r>
      <rPr>
        <sz val="9"/>
        <color theme="1"/>
        <rFont val="Arial"/>
        <family val="2"/>
      </rPr>
      <t>Asks generators to provide generating unit capacities for summer and winter using these common reference temperatures. The table below lists the common reference temperatures AEMO applies for each region. In general, annual maximum demands occur during summer; the exception is Tasmania, where maximum demand occurs during winter. Summer maximum demand in Tasmania occurs during colder temperatures, resulting in a relatively low summer reference temperature.</t>
    </r>
  </si>
  <si>
    <t>Generation capacity reference temperatures</t>
  </si>
  <si>
    <t>Region  </t>
  </si>
  <si>
    <t>Summer (°C)</t>
  </si>
  <si>
    <t>Winter (°C)</t>
  </si>
  <si>
    <t>Queensland</t>
  </si>
  <si>
    <t>New South Wales</t>
  </si>
  <si>
    <t>Victoria</t>
  </si>
  <si>
    <t>South Australia</t>
  </si>
  <si>
    <t>Tasmania</t>
  </si>
  <si>
    <t>Maximum capacity</t>
  </si>
  <si>
    <t>Some thermal (generation that burns fuel) and non-thermal (renewable generation) generating systems can provide additional, short-term capacity that exceeds the registered capacity. This is known as maximum capacity.</t>
  </si>
  <si>
    <t>Proposed generation in the NEM</t>
  </si>
  <si>
    <t>In addition to capacity forecasts, generation plant owners advise AEMO about the status of generation projects currently under development in each region.</t>
  </si>
  <si>
    <t>Generation project commitment criteria</t>
  </si>
  <si>
    <t>Category</t>
  </si>
  <si>
    <t>Criteria</t>
  </si>
  <si>
    <t>Site</t>
  </si>
  <si>
    <t>The project proponent has purchased/settled/acquired (or commenced legal proceedings to purchase/settle/acquire) land for the construction of the project.</t>
  </si>
  <si>
    <t>Major components</t>
  </si>
  <si>
    <t>Contracts for the supply and construction of major plant or equipment components (such as generating units, turbines, boilers, transmission towers, conductors, and terminal station equipment) have been finalised and executed, including any provisions for cancellation payments.</t>
  </si>
  <si>
    <t>Finance</t>
  </si>
  <si>
    <t>The financing arrangements for the proposal, including any debt plans, must have been concluded and contracts executed.</t>
  </si>
  <si>
    <r>
      <rPr>
        <b/>
        <sz val="9"/>
        <rFont val="Arial"/>
        <family val="2"/>
      </rPr>
      <t>Clermont Solar Farm :</t>
    </r>
    <r>
      <rPr>
        <sz val="9"/>
        <rFont val="Arial"/>
        <family val="2"/>
      </rPr>
      <t xml:space="preserve"> Clermont Asset Co Pty Ltd as Trustee advises that Clermont Solar Farm (92.5 MW) is now a committed project.</t>
    </r>
  </si>
  <si>
    <r>
      <rPr>
        <b/>
        <sz val="9"/>
        <color rgb="FF000000"/>
        <rFont val="Arial"/>
        <family val="2"/>
      </rPr>
      <t xml:space="preserve">Haughton Solar Farm: </t>
    </r>
    <r>
      <rPr>
        <sz val="9"/>
        <color rgb="FF000000"/>
        <rFont val="Arial"/>
        <family val="2"/>
      </rPr>
      <t xml:space="preserve"> Pacific Hydro advises that Haughton Solar Farm (100 MW) is now a committed project.</t>
    </r>
  </si>
  <si>
    <r>
      <rPr>
        <b/>
        <sz val="9"/>
        <color rgb="FF000000"/>
        <rFont val="Arial"/>
        <family val="2"/>
      </rPr>
      <t xml:space="preserve">Susan River Solar Farm: </t>
    </r>
    <r>
      <rPr>
        <sz val="9"/>
        <color rgb="FF000000"/>
        <rFont val="Arial"/>
        <family val="2"/>
      </rPr>
      <t>Susan River Solar Farm (100 MW) is now reported as a committed project since ESCO Pacific advises it has commenced construction.</t>
    </r>
  </si>
  <si>
    <r>
      <rPr>
        <b/>
        <sz val="9"/>
        <color rgb="FF000000"/>
        <rFont val="Arial"/>
        <family val="2"/>
      </rPr>
      <t xml:space="preserve">Yarranlea Solar: </t>
    </r>
    <r>
      <rPr>
        <sz val="9"/>
        <color rgb="FF000000"/>
        <rFont val="Arial"/>
        <family val="2"/>
      </rPr>
      <t>Yarranlea Solar (102.5 MW) is now reported as a committed project since Risen Energy Australia advises it has commenced construction.</t>
    </r>
  </si>
  <si>
    <t>FPC Green Energy</t>
  </si>
  <si>
    <t>FPC 30 Limited as Trustee for FPC Green Fund Trust</t>
  </si>
  <si>
    <t>Moranbah Workers Solar</t>
  </si>
  <si>
    <t>Mount Sheridan Plaza</t>
  </si>
  <si>
    <t>Normanton Solar Farm</t>
  </si>
  <si>
    <t>PV - single axis tracking</t>
  </si>
  <si>
    <t>SIPS Staypylton Industrial Power Station</t>
  </si>
  <si>
    <t>St Ursula's College Yeppoon</t>
  </si>
  <si>
    <t>Todae Solar - DHP 1MW</t>
  </si>
  <si>
    <t>Todae Solar SV - Holy Spirit Northside</t>
  </si>
  <si>
    <t>Todae Solar SV - Mitchelton</t>
  </si>
  <si>
    <t>Todae Solar SV - Private Brisbane</t>
  </si>
  <si>
    <t>Todae Solar SV - Toowoomba</t>
  </si>
  <si>
    <t>Todae Solar SV Lourdes</t>
  </si>
  <si>
    <t>Tong Park - Agricultural Waste</t>
  </si>
  <si>
    <t>University of Southern Queensland Toowoomba</t>
  </si>
  <si>
    <t>Vulcan Yatala</t>
  </si>
  <si>
    <t>Woolcock Centre</t>
  </si>
  <si>
    <t>Summer aggregate available scheduled and semi-scheduled generation</t>
  </si>
  <si>
    <t>PowerStation</t>
  </si>
  <si>
    <t>FuelType</t>
  </si>
  <si>
    <t>Season</t>
  </si>
  <si>
    <t>Fossil</t>
  </si>
  <si>
    <t>summer</t>
  </si>
  <si>
    <t>Hydro</t>
  </si>
  <si>
    <t>The table above lists the latest Summer capacities for Queensland generation. Summer conditions relate to statistically predicted contribution under 10% POE maximum demand conditions.</t>
  </si>
  <si>
    <t>Due to the intermittent nature of wind, wind generation capacities are de-rated to account for the output most likely to be available during times of maximum demand. However, AEMO has not yet calculated contribution factors for wind, due to there being insufficient historical data to analyse for semi-scheduled wind generation in QLD. Thus the Firm Wind Capacity values in the table below are shown as NA, and do not contribute to the total capacity in that table.</t>
  </si>
  <si>
    <t>Due to the intermittent nature of sunlight, solar generation capacities are de-rated to account for the output most likely to be available during times of maximum demand. However, AEMO has not yet calculated contribution factors for solar, due to there being insufficient historical data to analyse for semi-scheduled solar generation in the NEM. Thus the Firm Solar Capacity values in the table below are shown as NA, and do not contribute to the total capacity in that table.</t>
  </si>
  <si>
    <t>The two tables below have been included to better represent the supply availability in Queensland, by taking into account the firm contribution by semi-scheduled generation. The Summer aggregate scheduled and firm semi-scheduled generation table presents scheduled generation and aggregated firm semi-scheduled generation.  The Summer aggregate available semi-scheduled generation table lists the total available capacity for semi-scheduled generation for the Summer period. The total refers to the maximum amount that can be generated from the semi-scheduled generation at the Summer reference temperatures.</t>
  </si>
  <si>
    <t>Summer aggregate scheduled and firm semi-scheduled generation</t>
  </si>
  <si>
    <t>Firm Wind Capacity</t>
  </si>
  <si>
    <t>NA</t>
  </si>
  <si>
    <t>Firm Solar Capacity</t>
  </si>
  <si>
    <t>Summer aggregate available semi-scheduled generation</t>
  </si>
  <si>
    <t>Total (Wind)</t>
  </si>
  <si>
    <t>Total (Solar)</t>
  </si>
  <si>
    <t>Total (Storage)</t>
  </si>
  <si>
    <t>Winter aggregate available scheduled and semi-scheduled generation</t>
  </si>
  <si>
    <t>winter</t>
  </si>
  <si>
    <t>The table above lists the latest Winter capacities for Queensland generation. Winter conditions relate to statistically predicted contribution under 10% POE maximum demand conditions.</t>
  </si>
  <si>
    <t>The two tables below have been included to better represent the supply availability in Queensland, by taking into account the firm contribution by semi-scheduled generation. The Winter aggregate scheduled and firm semi-scheduled generation table presents scheduled generation and aggregated firm semi-scheduled generation.  The Winter aggregate available semi-scheduled generation table lists the total available capacity for semi-scheduled generation for the Winter period. The total refers to the maximum amount that can be generated from the semi-scheduled generation at the Winter reference temperatures.</t>
  </si>
  <si>
    <t>Winter aggregate scheduled and firm semi-scheduled generation</t>
  </si>
  <si>
    <t>Winter aggregate available semi-scheduled generation</t>
  </si>
  <si>
    <t>Lighthouse Infrastructure Management Limited</t>
  </si>
  <si>
    <t>1 - 32</t>
  </si>
  <si>
    <t>Kennedy Energy Park - Phase 2 - Solar</t>
  </si>
  <si>
    <t>Windlab Developments</t>
  </si>
  <si>
    <t>Kennedy Energy Park - Phase 2 - Wind</t>
  </si>
  <si>
    <t>Units 1-9
Unit 10</t>
  </si>
  <si>
    <t>Raglan Solar Farm</t>
  </si>
  <si>
    <t>South Johnstone Mill (expansion)</t>
  </si>
  <si>
    <t>Spark Ignition  Reciprocating Engine</t>
  </si>
  <si>
    <t>Beelbee Solar Farm</t>
  </si>
  <si>
    <t>Aldi Brendale</t>
  </si>
  <si>
    <t>Somerset Dam</t>
  </si>
  <si>
    <t>Source</t>
  </si>
  <si>
    <t>www.baralabasolarfarm.com.au</t>
  </si>
  <si>
    <t>https://www.infigenenergy.com/our-business/development-pipeline/solar-energy-projects/</t>
  </si>
  <si>
    <t>https://wirsol.com.au/portfolio/clermont-solar-farm/</t>
  </si>
  <si>
    <t>Comet Solar Farm</t>
  </si>
  <si>
    <t>Hadstone Energy</t>
  </si>
  <si>
    <t>114</t>
  </si>
  <si>
    <t>https://www.infigenenergy.com/our-business/development-pipeline/wind-energy-projects/</t>
  </si>
  <si>
    <t>solarq.com.au</t>
  </si>
  <si>
    <t>www.pacifichydro.com.au</t>
  </si>
  <si>
    <t>https://kabangreenpowerhub.com.au/</t>
  </si>
  <si>
    <t>Battery Storage</t>
  </si>
  <si>
    <t>http://www.genexpower.com.au/250mw-kidston-pumped-storage-hydro-project.html</t>
  </si>
  <si>
    <t>http://www.genexpower.com.au/270mw-kidston-solar-project.html</t>
  </si>
  <si>
    <t>http://www.genexpower.com.au/150mw-kidston-wind-project.html</t>
  </si>
  <si>
    <t>https://www.terrainsolar.com/kingaroy</t>
  </si>
  <si>
    <t>www.lilyvalesolarfarm.com.au</t>
  </si>
  <si>
    <t>http://www.overlandsunfarming.com.au/middlemount-sun-farm.html</t>
  </si>
  <si>
    <t>www.nqbioenergy.com.au</t>
  </si>
  <si>
    <t>www.msfsugar.com.au</t>
  </si>
  <si>
    <t>http://teebarcleanenergy.com.au/</t>
  </si>
  <si>
    <t>www.tierisolarfarm.com.au</t>
  </si>
  <si>
    <t>https://www.warwicksolarfarm.com.au/</t>
  </si>
  <si>
    <t>http://www.yarranleasolar.com.au/</t>
  </si>
  <si>
    <t>Longreach Asset Company</t>
  </si>
  <si>
    <t>Lakeland Solar and Storage</t>
  </si>
  <si>
    <t>Lakeland Solar and Storage Pty Limited</t>
  </si>
  <si>
    <t>25 x 5</t>
  </si>
  <si>
    <t>Feb 2019</t>
  </si>
  <si>
    <t>Winter 2018</t>
  </si>
  <si>
    <t xml:space="preserve">Summer 2018-19_x000D_
</t>
  </si>
  <si>
    <t xml:space="preserve">Winter 2018_x000D_
</t>
  </si>
  <si>
    <r>
      <rPr>
        <b/>
        <sz val="9"/>
        <color rgb="FF000000"/>
        <rFont val="Arial"/>
        <family val="2"/>
      </rPr>
      <t xml:space="preserve">Emerald Solar Park: </t>
    </r>
    <r>
      <rPr>
        <sz val="9"/>
        <color rgb="FF000000"/>
        <rFont val="Arial"/>
        <family val="2"/>
      </rPr>
      <t xml:space="preserve"> Emerald Solar Park (72 MW) is now reported as a committed project </t>
    </r>
    <r>
      <rPr>
        <sz val="9"/>
        <color theme="1"/>
        <rFont val="Arial"/>
        <family val="2"/>
      </rPr>
      <t>since Lighthouse Infrastructure Management Limited</t>
    </r>
    <r>
      <rPr>
        <sz val="9"/>
        <color rgb="FF000000"/>
        <rFont val="Arial"/>
        <family val="2"/>
      </rPr>
      <t xml:space="preserve"> advises that it has commenced construction.</t>
    </r>
  </si>
  <si>
    <t xml:space="preserve"> </t>
  </si>
  <si>
    <t>Generation capacity in the NEM</t>
  </si>
  <si>
    <r>
      <rPr>
        <sz val="9"/>
        <color theme="1"/>
        <rFont val="Symbol"/>
        <family val="1"/>
        <charset val="2"/>
      </rPr>
      <t>·</t>
    </r>
    <r>
      <rPr>
        <sz val="7"/>
        <color theme="1"/>
        <rFont val="Times New Roman"/>
        <family val="1"/>
      </rPr>
      <t xml:space="preserve">      </t>
    </r>
    <r>
      <rPr>
        <sz val="9"/>
        <color theme="1"/>
        <rFont val="Arial"/>
        <family val="2"/>
      </rPr>
      <t>Uses historical data to estimate typical weather conditions, and to determine reference temperatures frequently associated with times of 10% probability of exceedance (POE) maximum demand in the major load centres for each region.</t>
    </r>
  </si>
  <si>
    <r>
      <t>·</t>
    </r>
    <r>
      <rPr>
        <sz val="7"/>
        <color theme="1"/>
        <rFont val="Times New Roman"/>
        <family val="1"/>
      </rPr>
      <t xml:space="preserve">      </t>
    </r>
    <r>
      <rPr>
        <sz val="9"/>
        <color theme="1"/>
        <rFont val="Arial"/>
        <family val="2"/>
      </rPr>
      <t>Proposed projects, which are further identified as:</t>
    </r>
  </si>
  <si>
    <r>
      <t xml:space="preserve"> -</t>
    </r>
    <r>
      <rPr>
        <sz val="7"/>
        <color theme="1"/>
        <rFont val="Times New Roman"/>
        <family val="1"/>
      </rPr>
      <t xml:space="preserve">     </t>
    </r>
    <r>
      <rPr>
        <sz val="9"/>
        <color theme="1"/>
        <rFont val="Arial"/>
        <family val="2"/>
      </rPr>
      <t xml:space="preserve">Maturing proposals, representing projects that have progressed with site, planning applications, and finance arrangements, but not to the point that they can be classified as advanced. Maturing projects may be explicitly included in scenario analysis to assess future reliability or market impacts and are tested for economic efficiency in capacity outlook modelling. </t>
    </r>
  </si>
  <si>
    <t/>
  </si>
  <si>
    <t>Blair Athol Solar Power Station</t>
  </si>
  <si>
    <t>TerraCom Ltd</t>
  </si>
  <si>
    <t>http://terracomresources.com/wp-content/uploads/2016/10/2016-10-12-Blair-Athol-60Mw-Solar-Power-Station-Plans.pdf</t>
  </si>
  <si>
    <t>Clarke Creek Wind and Solar Farm - Solar</t>
  </si>
  <si>
    <t>Lacour Energy</t>
  </si>
  <si>
    <t>200</t>
  </si>
  <si>
    <t>http://www.clarkecreekwindandsolar.com.au/</t>
  </si>
  <si>
    <t>Clarke Creek Wind and Solar Farm - Wind</t>
  </si>
  <si>
    <t>Rolleston Solar Farm</t>
  </si>
  <si>
    <t>RES Australia Pty Ltd</t>
  </si>
  <si>
    <t>http://www.rolleston-solarfarm.com/</t>
  </si>
  <si>
    <r>
      <t xml:space="preserve"> -</t>
    </r>
    <r>
      <rPr>
        <sz val="7"/>
        <color theme="1"/>
        <rFont val="Times New Roman"/>
        <family val="1"/>
      </rPr>
      <t xml:space="preserve">     </t>
    </r>
    <r>
      <rPr>
        <sz val="9"/>
        <color theme="1"/>
        <rFont val="Arial"/>
        <family val="2"/>
      </rPr>
      <t>Committed proposals, representing projects that have satisfied all five (5) of AEMO's commitment criteria.</t>
    </r>
  </si>
  <si>
    <t>Solar*</t>
  </si>
  <si>
    <t>* Solar excludes rooftop PV installations</t>
  </si>
  <si>
    <t>2019</t>
  </si>
  <si>
    <t>2020</t>
  </si>
  <si>
    <t>2021</t>
  </si>
  <si>
    <t>2022</t>
  </si>
  <si>
    <t>2023</t>
  </si>
  <si>
    <t>2024</t>
  </si>
  <si>
    <t>2025</t>
  </si>
  <si>
    <t>2026</t>
  </si>
  <si>
    <t>2027</t>
  </si>
  <si>
    <t>2028</t>
  </si>
  <si>
    <t>DispatchType</t>
  </si>
  <si>
    <t>Maturing</t>
  </si>
  <si>
    <t>http://edifyenergy.com/projects/hayman-solar-farm/</t>
  </si>
  <si>
    <t>96</t>
  </si>
  <si>
    <t>240</t>
  </si>
  <si>
    <t>Units 4 - 5</t>
  </si>
  <si>
    <t>32</t>
  </si>
  <si>
    <t>Any person who owns, controls, or operates a generating system connected to a transmission or distribution network must register with AEMO as a generator unless it has the benefit of an exemption from that requirement. A generating system’s registered capacity is the aggregate megawatt (MW) capacity of all its component generation units, as registered with AEMO.</t>
  </si>
  <si>
    <t>The registered capacity should be the same as a generating system’s nameplate capacity. Nameplate capacity represents the maximum continuous output or consumption in MW, as specified by the manufacturer, or as subsequently modified. Nameplate capacity can change for a number of reasons, such as upgrade projects, age or a review of performance.</t>
  </si>
  <si>
    <t>Under the National Electricity Rules (NER), generating units are classified as scheduled (S), semi-scheduled (SS), or non-scheduled (NS).</t>
  </si>
  <si>
    <r>
      <t xml:space="preserve">For further information about generation classification guide, please refer to the AEMO Generation Exemption and Classification Guide on the AEMO website:
http://aemo.com.au/-/media/Files/Electricity/NEM/Participant_Information/New-Participants/Generator-Exemption-and-Classification-Guide.pdf </t>
    </r>
    <r>
      <rPr>
        <b/>
        <sz val="9"/>
        <rFont val="Arial"/>
        <family val="2"/>
      </rPr>
      <t xml:space="preserve">
</t>
    </r>
  </si>
  <si>
    <t>Projects are categorised as follows:</t>
  </si>
  <si>
    <r>
      <t>·</t>
    </r>
    <r>
      <rPr>
        <sz val="7"/>
        <color theme="1"/>
        <rFont val="Times New Roman"/>
        <family val="1"/>
      </rPr>
      <t xml:space="preserve">      </t>
    </r>
    <r>
      <rPr>
        <sz val="9"/>
        <color theme="1"/>
        <rFont val="Arial"/>
        <family val="2"/>
      </rPr>
      <t>Committed projects, representing generation and storage for which formal commitment has been made for construction or installation. These are further identified as:</t>
    </r>
  </si>
  <si>
    <r>
      <t xml:space="preserve"> -</t>
    </r>
    <r>
      <rPr>
        <sz val="7"/>
        <color theme="1"/>
        <rFont val="Times New Roman"/>
        <family val="1"/>
      </rPr>
      <t xml:space="preserve">     </t>
    </r>
    <r>
      <rPr>
        <sz val="9"/>
        <color theme="1"/>
        <rFont val="Arial"/>
        <family val="2"/>
      </rPr>
      <t xml:space="preserve">Committed* proposals, representing projects that don't satisfy all five (5) of AEMO's commitment criteria, but  construction or installation has commenced. </t>
    </r>
  </si>
  <si>
    <r>
      <t xml:space="preserve"> -</t>
    </r>
    <r>
      <rPr>
        <sz val="7"/>
        <color theme="1"/>
        <rFont val="Times New Roman"/>
        <family val="1"/>
      </rPr>
      <t xml:space="preserve">     </t>
    </r>
    <r>
      <rPr>
        <sz val="9"/>
        <color theme="1"/>
        <rFont val="Arial"/>
        <family val="2"/>
      </rPr>
      <t xml:space="preserve">Emerging proposals, representing projects where sites have been identified, planning applications lodged and the development is considered financially and technically viable. However, planning approvals/construction is uncertain, and development maybe subject to changes in policy or commercial environment. These projects may be explicitly included in scenario analysis to assess future market impacts, and are tested for economic efficiency in capacity outlook modelling. However, a higher weighted average cost of capital will be assumed to reflect greater development uncertainty compared to maturing projects. </t>
    </r>
  </si>
  <si>
    <r>
      <t xml:space="preserve"> -</t>
    </r>
    <r>
      <rPr>
        <sz val="7"/>
        <color theme="1"/>
        <rFont val="Times New Roman"/>
        <family val="1"/>
      </rPr>
      <t xml:space="preserve">     </t>
    </r>
    <r>
      <rPr>
        <sz val="9"/>
        <color theme="1"/>
        <rFont val="Arial"/>
        <family val="2"/>
      </rPr>
      <t>Publicly Announced proposals, representing projects that have been announced publicly, but may not yet meet all or any of the commitment criteria. Costs and capabilities of these projects are developed using recently-completed projects and projections of cost components such as raw material supply and labour.</t>
    </r>
  </si>
  <si>
    <t>The proponent has obtained all required planning consents, construction approvals, connection contracts (including approval of proposed negotiated Generator Performance Standards from AEMO under clause 5.3.4A of the National Electricity Rules), and licences, including completion and acceptance of any necessary environmental impact statements.</t>
  </si>
  <si>
    <t>Date</t>
  </si>
  <si>
    <t>Construction of the proposal must either have commenced or a firm commencement date must have been set. Commercial use date for full operation must have been set.</t>
  </si>
  <si>
    <t>For the purposes of reliability assessments, and consistent with market systems, AEMO measures scheduled and semi-scheduled generation capacity on an as-generated basis, noting that for semi-scheduled systems the generating unit terminals are taken to be at the connection point. Non-scheduled generation is measured as sent-out (at the connection point) because it can include co-generation plants (that usually produce both heat and electricity), where the bulk of the capacity is consumed locally.</t>
  </si>
  <si>
    <t xml:space="preserve">Generation projects can be at different stages of development, which are assessed using AEMO’s five (5) commitment criteria, covering site acquisition, contracts for major components, planning and other approvals, financing, and date (see table below for a description of the criteria). </t>
  </si>
  <si>
    <r>
      <t xml:space="preserve"> -</t>
    </r>
    <r>
      <rPr>
        <sz val="7"/>
        <color theme="1"/>
        <rFont val="Times New Roman"/>
        <family val="1"/>
      </rPr>
      <t xml:space="preserve">     </t>
    </r>
    <r>
      <rPr>
        <sz val="9"/>
        <color theme="1"/>
        <rFont val="Arial"/>
        <family val="2"/>
      </rPr>
      <t>Advanced proposals, representing projects that are highly likely to proceed, satisfying Site and Finance criteria plus either Planning and approvals or Major components criteria, and have notified AEMO of a scheduled commercial operation date. Typically included in sensitivity analysis for MLF.</t>
    </r>
  </si>
  <si>
    <t>Planning and Approvals</t>
  </si>
  <si>
    <r>
      <rPr>
        <b/>
        <sz val="9"/>
        <color rgb="FF000000"/>
        <rFont val="Arial"/>
        <family val="2"/>
      </rPr>
      <t xml:space="preserve">TeeBar Solar Farm: </t>
    </r>
    <r>
      <rPr>
        <sz val="9"/>
        <color rgb="FF000000"/>
        <rFont val="Arial"/>
        <family val="2"/>
      </rPr>
      <t>TeeBar Solar Farm (52.5 MW) is now reported as a committed project since TeeBar Clean Energy Pty Ltd advises it has commenced construction.</t>
    </r>
  </si>
  <si>
    <r>
      <rPr>
        <b/>
        <sz val="9"/>
        <color theme="1"/>
        <rFont val="Arial"/>
        <family val="2"/>
      </rPr>
      <t xml:space="preserve">Tarong Power Station: </t>
    </r>
    <r>
      <rPr>
        <sz val="9"/>
        <color theme="1"/>
        <rFont val="Arial"/>
        <family val="2"/>
      </rPr>
      <t>Stanwell Corporation advises that the Tarong station will revise its available capacity from 700 MW to 1050 MW (+350 MW) in summer 2014, due to the return of service of Unit 4 (DUID TARONG#4) in July 2014. The available capacity will be revised to 1400 MW (+350 MW) in summer 2015, due to the return of service of Unit 2 (DUID TARONG#2) in June 2015.</t>
    </r>
  </si>
  <si>
    <r>
      <rPr>
        <b/>
        <sz val="9"/>
        <rFont val="Arial"/>
        <family val="2"/>
      </rPr>
      <t xml:space="preserve">Kidston Pumped Storage Hydro Project: </t>
    </r>
    <r>
      <rPr>
        <sz val="9"/>
        <rFont val="Arial"/>
        <family val="2"/>
      </rPr>
      <t xml:space="preserve">Genex Power announces the Kidston Pumped Hydro Storage (200 MW) project in far north Queensland. </t>
    </r>
  </si>
  <si>
    <r>
      <rPr>
        <b/>
        <sz val="9"/>
        <rFont val="Arial"/>
        <family val="2"/>
      </rPr>
      <t xml:space="preserve">Kidston Pumped Storage Hydro Project: </t>
    </r>
    <r>
      <rPr>
        <sz val="9"/>
        <rFont val="Arial"/>
        <family val="2"/>
      </rPr>
      <t>Genex Power announces the Kidston Pumped Hydro Storage capacity is revised to 330 MW.</t>
    </r>
  </si>
  <si>
    <r>
      <t xml:space="preserve">Cook Shire Solar Storage Project: </t>
    </r>
    <r>
      <rPr>
        <sz val="9"/>
        <rFont val="Arial"/>
        <family val="2"/>
      </rPr>
      <t>Lyon Infrastructure Investments advises that Cook Shire Solar Storage Project (28MW) is a committed project.</t>
    </r>
  </si>
  <si>
    <r>
      <rPr>
        <b/>
        <sz val="9"/>
        <color rgb="FF000000"/>
        <rFont val="Arial"/>
        <family val="2"/>
      </rPr>
      <t xml:space="preserve">Childers Solar Farm: </t>
    </r>
    <r>
      <rPr>
        <sz val="9"/>
        <color rgb="FF000000"/>
        <rFont val="Arial"/>
        <family val="2"/>
      </rPr>
      <t xml:space="preserve"> Childers Solar Farm (56 MW) is now reported as a committed project since ESCO Pacific advises that it has commenced construction.</t>
    </r>
  </si>
  <si>
    <r>
      <rPr>
        <b/>
        <sz val="11"/>
        <color rgb="FF000000"/>
        <rFont val="Calibri"/>
        <family val="2"/>
        <scheme val="minor"/>
      </rPr>
      <t xml:space="preserve">Oakey 2 Solar Farm: </t>
    </r>
    <r>
      <rPr>
        <sz val="11"/>
        <color rgb="FF000000"/>
        <rFont val="Calibri"/>
        <family val="2"/>
        <scheme val="minor"/>
      </rPr>
      <t xml:space="preserve"> Oakey 2 Solar Farm (55 MW) is now reported as a committed project since Canadian Solar Pty Ltd advises that it has commenced construction.</t>
    </r>
  </si>
  <si>
    <t>Kerosene Aviation fuel used for stationary energy - avtur</t>
  </si>
  <si>
    <t>285</t>
  </si>
  <si>
    <t>2 MW / 4 MWh</t>
  </si>
  <si>
    <t>Munna Creek</t>
  </si>
  <si>
    <t>Renewable Energy System Technologies</t>
  </si>
  <si>
    <t>http://www.restweb.net/projects.html</t>
  </si>
  <si>
    <t>Unit Number and Nameplate Capacity (MW)</t>
  </si>
  <si>
    <r>
      <t xml:space="preserve">Callide C: </t>
    </r>
    <r>
      <rPr>
        <sz val="9"/>
        <rFont val="Arial"/>
        <family val="2"/>
      </rPr>
      <t>CS Energy have advised that Callide C capacity has been reduced from 1,000 MW to 840 MW.</t>
    </r>
  </si>
  <si>
    <r>
      <rPr>
        <b/>
        <sz val="11"/>
        <color rgb="FF000000"/>
        <rFont val="Calibri"/>
        <family val="2"/>
        <scheme val="minor"/>
      </rPr>
      <t xml:space="preserve">Callide C: </t>
    </r>
    <r>
      <rPr>
        <sz val="11"/>
        <color rgb="FF000000"/>
        <rFont val="Calibri"/>
        <family val="2"/>
        <scheme val="minor"/>
      </rPr>
      <t>CS Energy have advised that Callide C capacity has been reduced from 1,000 MW to 840 MW.</t>
    </r>
  </si>
  <si>
    <t>Cape York Solar Storage - Solar</t>
  </si>
  <si>
    <t>Cape York Solar Storage - Storage</t>
  </si>
  <si>
    <t>20 MW / 80 MWh</t>
  </si>
  <si>
    <t xml:space="preserve">http://www.lyoninfrastructure.com.au/projects/cape-york/ </t>
  </si>
  <si>
    <t>Note: Updated “Background Information” with changes to categories of proposed generation in the NEM.</t>
  </si>
  <si>
    <t>Data presented is current as at 31 October 2018</t>
  </si>
  <si>
    <r>
      <rPr>
        <b/>
        <sz val="9"/>
        <color rgb="FF000000"/>
        <rFont val="Arial"/>
        <family val="2"/>
      </rPr>
      <t xml:space="preserve">Darling Downs Solar Farm: </t>
    </r>
    <r>
      <rPr>
        <sz val="9"/>
        <color rgb="FF000000"/>
        <rFont val="Arial"/>
        <family val="2"/>
      </rPr>
      <t>Darling Downs Solar Farm Pty Ltd advises that Darling Downs Solar Farm (108.5 MW) is undergoing commissioning testing.</t>
    </r>
  </si>
  <si>
    <r>
      <rPr>
        <b/>
        <sz val="9"/>
        <color rgb="FF000000"/>
        <rFont val="Arial"/>
        <family val="2"/>
      </rPr>
      <t>Darling Downs Solar Farm:</t>
    </r>
    <r>
      <rPr>
        <sz val="9"/>
        <color rgb="FF000000"/>
        <rFont val="Arial"/>
        <family val="2"/>
      </rPr>
      <t xml:space="preserve"> Darling Downs Solar Farm Pty Ltd advises that Darling Downs Solar Farm (108.5 MW) is undergoing commissioning testing.</t>
    </r>
  </si>
  <si>
    <t>44 x 2.75</t>
  </si>
  <si>
    <t>201819</t>
  </si>
  <si>
    <t>201920</t>
  </si>
  <si>
    <t>202021</t>
  </si>
  <si>
    <t>202122</t>
  </si>
  <si>
    <t>202223</t>
  </si>
  <si>
    <t>202324</t>
  </si>
  <si>
    <t>202425</t>
  </si>
  <si>
    <t>202526</t>
  </si>
  <si>
    <t>202627</t>
  </si>
  <si>
    <t>202728</t>
  </si>
  <si>
    <t xml:space="preserve">Emerald Solar Park_x000D_
</t>
  </si>
  <si>
    <t xml:space="preserve">Rugby Run Solar Farm_x000D_
</t>
  </si>
  <si>
    <t xml:space="preserve">Churchill Abattoir_x000D_
</t>
  </si>
  <si>
    <t>23 x 2.5</t>
  </si>
  <si>
    <r>
      <t>Rugby Run Solar Farm :</t>
    </r>
    <r>
      <rPr>
        <sz val="9"/>
        <color rgb="FF000000"/>
        <rFont val="Arial"/>
        <family val="2"/>
      </rPr>
      <t xml:space="preserve"> Rugby Run Solar Farm (65MW) is now reported as committed since Adani Rugby Run Pty Ltd advises that it has commenced construction. </t>
    </r>
  </si>
  <si>
    <r>
      <rPr>
        <b/>
        <sz val="9"/>
        <color rgb="FF000000"/>
        <rFont val="Arial"/>
        <family val="2"/>
      </rPr>
      <t>Hamilton Solar Farm</t>
    </r>
    <r>
      <rPr>
        <sz val="9"/>
        <color rgb="FF000000"/>
        <rFont val="Arial"/>
        <family val="2"/>
      </rPr>
      <t>: Hamilton Solar Farm Pty Ltd advises that Hamilton Solar Farm (57.5 MW) is undergoing commissioning testing.</t>
    </r>
  </si>
  <si>
    <r>
      <rPr>
        <b/>
        <sz val="9"/>
        <color rgb="FF000000"/>
        <rFont val="Arial"/>
        <family val="2"/>
      </rPr>
      <t>Ross River Solar Farm</t>
    </r>
    <r>
      <rPr>
        <sz val="9"/>
        <color rgb="FF000000"/>
        <rFont val="Arial"/>
        <family val="2"/>
      </rPr>
      <t>: Ross River Operations Pty Ltd advises that Ross River Solar Farm (128 MW) is undergoing commissioning testing.</t>
    </r>
  </si>
  <si>
    <r>
      <t>Kennedy Energy Park:</t>
    </r>
    <r>
      <rPr>
        <sz val="9"/>
        <color rgb="FF000000"/>
        <rFont val="Arial"/>
        <family val="2"/>
      </rPr>
      <t xml:space="preserve"> Kennedy Energy Park (Solar (15 MW), Wind (43.2 MW), Storage (2 MW)) is now reported as a committed project since Kennedy Energy Park Pty advises that it has commenced construction .</t>
    </r>
  </si>
  <si>
    <r>
      <rPr>
        <b/>
        <sz val="9"/>
        <color rgb="FF000000"/>
        <rFont val="Arial"/>
        <family val="2"/>
      </rPr>
      <t>Kennedy Energy Park</t>
    </r>
    <r>
      <rPr>
        <sz val="9"/>
        <color rgb="FF000000"/>
        <rFont val="Arial"/>
        <family val="2"/>
      </rPr>
      <t>: Kennedy Energy Park (Solar (15 MW), Wind (43.2 MW), Storage (2 MW)) is now reported as a committed project since Kennedy Energy Park Pty advises that it has commenced construction .</t>
    </r>
  </si>
  <si>
    <t>2 x 146
1 x 131.5</t>
  </si>
  <si>
    <t>64 x 2</t>
  </si>
  <si>
    <t>1 x 160
1 x 84</t>
  </si>
  <si>
    <t>Dingo Solar Farm</t>
  </si>
  <si>
    <t>85</t>
  </si>
  <si>
    <t>http://dingosolarfarm.com.au/</t>
  </si>
  <si>
    <t>https://www.adaniaustralia.com/en/projects-businesses/renewables/renewablesrugby</t>
  </si>
  <si>
    <t>Woolooga Solar Farm</t>
  </si>
  <si>
    <t>185</t>
  </si>
  <si>
    <t>http://www.wooloogaenergy.com/</t>
  </si>
  <si>
    <t>Apr 2019</t>
  </si>
  <si>
    <t>Mar 2019</t>
  </si>
  <si>
    <t>https://kennedyenergypark.com.au/</t>
  </si>
  <si>
    <r>
      <rPr>
        <b/>
        <sz val="9"/>
        <rFont val="Arial"/>
        <family val="2"/>
      </rPr>
      <t>Biomass:</t>
    </r>
    <r>
      <rPr>
        <sz val="9"/>
        <rFont val="Arial"/>
        <family val="2"/>
      </rPr>
      <t xml:space="preserve"> Tableland Mill (expansion) (24 MW)</t>
    </r>
  </si>
  <si>
    <r>
      <rPr>
        <b/>
        <sz val="9"/>
        <rFont val="Arial"/>
        <family val="2"/>
      </rPr>
      <t>Storage:</t>
    </r>
    <r>
      <rPr>
        <sz val="9"/>
        <rFont val="Arial"/>
        <family val="2"/>
      </rPr>
      <t xml:space="preserve"> Kennedy Energy Park - Phase 1 - Storage (2 MW / 4 MWh MW)</t>
    </r>
  </si>
  <si>
    <r>
      <rPr>
        <b/>
        <sz val="9"/>
        <rFont val="Arial"/>
        <family val="2"/>
      </rPr>
      <t xml:space="preserve">Coal, CCGT, OCGT, Gas other, Geo-thermal, Water, Other: </t>
    </r>
    <r>
      <rPr>
        <sz val="9"/>
        <rFont val="Arial"/>
        <family val="2"/>
      </rPr>
      <t>None to report.</t>
    </r>
  </si>
  <si>
    <r>
      <rPr>
        <b/>
        <sz val="9"/>
        <rFont val="Arial"/>
        <family val="2"/>
      </rPr>
      <t xml:space="preserve">Solar: </t>
    </r>
    <r>
      <rPr>
        <sz val="9"/>
        <rFont val="Arial"/>
        <family val="2"/>
      </rPr>
      <t>Childers Solar Farm (56 MW), Clermont Solar Farm (92.5 MW), Collinsville PV (42.5 MW), Daydream Solar Farm (167.5 MW), Emerald Solar Park (72 MW), Haughton Solar Farm (100 MW), Hayman Solar Farm (50 MW), Kennedy Energy Park - Phase 1 - Solar (15 MW), Lilyvale Solar Farm (100 MW), Oakey 2 Solar Farm (55 MW), Oakey Solar Farm (25 MW), Rugby Run Solar Farm (65 MW), Susan River Solar Farm (75 MW), Teebar Solar One (52.5 MW), Whitsunday Solar Farm (57.5 MW), Yarranlea Solar (102.5 MW)</t>
    </r>
  </si>
  <si>
    <r>
      <rPr>
        <b/>
        <sz val="9"/>
        <color theme="1"/>
        <rFont val="Arial"/>
        <family val="2"/>
      </rPr>
      <t>Wind:</t>
    </r>
    <r>
      <rPr>
        <sz val="9"/>
        <color theme="1"/>
        <rFont val="Arial"/>
        <family val="2"/>
      </rPr>
      <t xml:space="preserve"> Coopers Gap (350 MW), Kennedy Energy Park - Phase 1 - Wind (43.2 MW), Mount Emerald (180.5 MW)</t>
    </r>
  </si>
  <si>
    <t>Com* - Identifies projects that are under construction, but AEMO has not been informed that the project meets all  commitment criteria.</t>
  </si>
  <si>
    <t>In Commissioning*</t>
  </si>
  <si>
    <t>Pumped Storage</t>
  </si>
  <si>
    <t>N/A</t>
  </si>
  <si>
    <t>*In Commissioning includes facilities that have both obtained NEM registration, and have demonstrated the ability to export at least 50% of Nameplate capacity under commissioning conditions, but are not yet operating unrestricted at the time of publication. These projects are included under the "Existing Less Announced Withdrawal" category in the Summary 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</si>
</sst>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_-* #,##0.0_-;\-* #,##0.0_-;_-* &quot;-&quot;??_-;_-@_-"/>
  </numFmts>
  <fonts count="36">
    <font>
      <sz val="11"/>
      <color rgb="FF000000"/>
      <name val="Calibri"/>
      <family val="2"/>
      <scheme val="minor"/>
    </font>
    <font>
      <b/>
      <sz val="15"/>
      <color rgb="FFF47321"/>
      <name val="Arial"/>
      <family val="2"/>
    </font>
    <font>
      <b/>
      <sz val="8"/>
      <color rgb="FF000000"/>
      <name val="Arial"/>
      <family val="2"/>
    </font>
    <font>
      <sz val="8"/>
      <color rgb="FFFFFFFF"/>
      <name val="Arial"/>
      <family val="2"/>
    </font>
    <font>
      <sz val="8"/>
      <color rgb="FF000000"/>
      <name val="Arial"/>
      <family val="2"/>
    </font>
    <font>
      <sz val="10"/>
      <color rgb="FF000000"/>
      <name val="Arial"/>
      <family val="2"/>
    </font>
    <font>
      <b/>
      <sz val="10"/>
      <color rgb="FFF47321"/>
      <name val="Arial"/>
      <family val="2"/>
    </font>
    <font>
      <sz val="11"/>
      <color theme="0"/>
      <name val="Calibri"/>
      <family val="2"/>
      <scheme val="minor"/>
    </font>
    <font>
      <u/>
      <sz val="11"/>
      <color theme="10"/>
      <name val="Calibri"/>
      <family val="2"/>
      <scheme val="minor"/>
    </font>
    <font>
      <u/>
      <sz val="10"/>
      <color theme="10"/>
      <name val="Arial"/>
      <family val="2"/>
    </font>
    <font>
      <b/>
      <sz val="10"/>
      <name val="Arial"/>
      <family val="2"/>
    </font>
    <font>
      <b/>
      <sz val="11"/>
      <color rgb="FFF47321"/>
      <name val="Arial"/>
      <family val="2"/>
    </font>
    <font>
      <b/>
      <sz val="11"/>
      <color rgb="FF000000"/>
      <name val="Calibri"/>
      <family val="2"/>
      <scheme val="minor"/>
    </font>
    <font>
      <b/>
      <sz val="9"/>
      <name val="Arial"/>
      <family val="2"/>
    </font>
    <font>
      <b/>
      <sz val="9"/>
      <color rgb="FFF47321"/>
      <name val="Arial"/>
      <family val="2"/>
    </font>
    <font>
      <sz val="9"/>
      <name val="Arial"/>
      <family val="2"/>
    </font>
    <font>
      <b/>
      <sz val="9"/>
      <color rgb="FFFF0000"/>
      <name val="Arial"/>
      <family val="2"/>
    </font>
    <font>
      <b/>
      <sz val="9"/>
      <color theme="1"/>
      <name val="Arial"/>
      <family val="2"/>
    </font>
    <font>
      <sz val="9"/>
      <color theme="1"/>
      <name val="Arial"/>
      <family val="2"/>
    </font>
    <font>
      <sz val="9"/>
      <color rgb="FF000000"/>
      <name val="Arial"/>
      <family val="2"/>
    </font>
    <font>
      <sz val="9"/>
      <color rgb="FF1F497D"/>
      <name val="Arial"/>
      <family val="2"/>
    </font>
    <font>
      <b/>
      <sz val="8"/>
      <color theme="0"/>
      <name val="Arial"/>
      <family val="2"/>
    </font>
    <font>
      <sz val="9"/>
      <color theme="1"/>
      <name val="Symbol"/>
      <family val="1"/>
      <charset val="2"/>
    </font>
    <font>
      <sz val="7"/>
      <color theme="1"/>
      <name val="Times New Roman"/>
      <family val="1"/>
    </font>
    <font>
      <b/>
      <sz val="10"/>
      <color rgb="FF333333"/>
      <name val="Arial"/>
      <family val="2"/>
    </font>
    <font>
      <b/>
      <sz val="8"/>
      <name val="Arial"/>
      <family val="2"/>
    </font>
    <font>
      <b/>
      <sz val="8"/>
      <color rgb="FFFFFFFF"/>
      <name val="Arial"/>
      <family val="2"/>
    </font>
    <font>
      <sz val="8"/>
      <name val="Arial"/>
      <family val="2"/>
    </font>
    <font>
      <sz val="10"/>
      <color theme="1"/>
      <name val="Arial"/>
      <family val="2"/>
    </font>
    <font>
      <sz val="11"/>
      <color theme="1"/>
      <name val="Arial"/>
      <family val="2"/>
    </font>
    <font>
      <b/>
      <sz val="9"/>
      <color rgb="FF000000"/>
      <name val="Arial"/>
      <family val="2"/>
    </font>
    <font>
      <b/>
      <sz val="8"/>
      <color theme="1"/>
      <name val="Arial"/>
      <family val="2"/>
    </font>
    <font>
      <sz val="11"/>
      <color rgb="FF000000"/>
      <name val="Calibri"/>
      <family val="2"/>
      <scheme val="minor"/>
    </font>
    <font>
      <sz val="9"/>
      <color theme="1"/>
      <name val="Arial"/>
      <family val="1"/>
      <charset val="2"/>
    </font>
    <font>
      <sz val="8"/>
      <color rgb="FFFF0000"/>
      <name val="Arial"/>
      <family val="2"/>
    </font>
    <font>
      <sz val="11"/>
      <name val="Calibri"/>
      <family val="2"/>
      <scheme val="minor"/>
    </font>
  </fonts>
  <fills count="11">
    <fill>
      <patternFill patternType="none"/>
    </fill>
    <fill>
      <patternFill patternType="gray125"/>
    </fill>
    <fill>
      <patternFill patternType="solid">
        <fgColor rgb="FFFFC222"/>
      </patternFill>
    </fill>
    <fill>
      <patternFill patternType="solid">
        <fgColor rgb="FF948671"/>
      </patternFill>
    </fill>
    <fill>
      <patternFill patternType="solid">
        <fgColor rgb="FFF9F8F6"/>
      </patternFill>
    </fill>
    <fill>
      <patternFill patternType="solid">
        <fgColor rgb="FFE7E3DC"/>
      </patternFill>
    </fill>
    <fill>
      <patternFill patternType="solid">
        <fgColor rgb="FF948671"/>
        <bgColor indexed="64"/>
      </patternFill>
    </fill>
    <fill>
      <patternFill patternType="solid">
        <fgColor rgb="FFF9F8F6"/>
        <bgColor indexed="64"/>
      </patternFill>
    </fill>
    <fill>
      <patternFill patternType="solid">
        <fgColor rgb="FFE7E3DC"/>
        <bgColor indexed="64"/>
      </patternFill>
    </fill>
    <fill>
      <patternFill patternType="solid">
        <fgColor theme="0"/>
        <bgColor indexed="64"/>
      </patternFill>
    </fill>
    <fill>
      <patternFill patternType="solid">
        <fgColor rgb="FFFFC000"/>
        <bgColor indexed="64"/>
      </patternFill>
    </fill>
  </fills>
  <borders count="17">
    <border>
      <left/>
      <right/>
      <top/>
      <bottom/>
      <diagonal/>
    </border>
    <border>
      <left style="medium">
        <color rgb="FFFFFFFF"/>
      </left>
      <right style="medium">
        <color rgb="FFFFFFFF"/>
      </right>
      <top style="medium">
        <color rgb="FFFFFFFF"/>
      </top>
      <bottom style="medium">
        <color rgb="FFFFFFFF"/>
      </bottom>
      <diagonal/>
    </border>
    <border>
      <left/>
      <right/>
      <top style="double">
        <color rgb="FF000000"/>
      </top>
      <bottom/>
      <diagonal/>
    </border>
    <border>
      <left style="double">
        <color rgb="FF000000"/>
      </left>
      <right style="medium">
        <color rgb="FFFFFFFF"/>
      </right>
      <top style="double">
        <color rgb="FF000000"/>
      </top>
      <bottom style="medium">
        <color rgb="FFFFFFFF"/>
      </bottom>
      <diagonal/>
    </border>
    <border>
      <left style="double">
        <color rgb="FF000000"/>
      </left>
      <right/>
      <top/>
      <bottom/>
      <diagonal/>
    </border>
    <border>
      <left/>
      <right style="medium">
        <color rgb="FFFFFFFF"/>
      </right>
      <top style="medium">
        <color rgb="FFFFFFFF"/>
      </top>
      <bottom style="medium">
        <color rgb="FFFFFFFF"/>
      </bottom>
      <diagonal/>
    </border>
    <border>
      <left/>
      <right style="medium">
        <color rgb="FFFFFFFF"/>
      </right>
      <top/>
      <bottom style="medium">
        <color rgb="FFFFFFFF"/>
      </bottom>
      <diagonal/>
    </border>
    <border>
      <left style="medium">
        <color rgb="FFFFFFFF"/>
      </left>
      <right style="medium">
        <color rgb="FFFFFFFF"/>
      </right>
      <top/>
      <bottom style="medium">
        <color rgb="FFFFFFFF"/>
      </bottom>
      <diagonal/>
    </border>
    <border>
      <left style="medium">
        <color rgb="FFFFFFFF"/>
      </left>
      <right/>
      <top/>
      <bottom style="medium">
        <color rgb="FFFFFFFF"/>
      </bottom>
      <diagonal/>
    </border>
    <border>
      <left style="medium">
        <color rgb="FFFFFFFF"/>
      </left>
      <right style="medium">
        <color rgb="FFFFFFFF"/>
      </right>
      <top style="medium">
        <color rgb="FFFFFFFF"/>
      </top>
      <bottom/>
      <diagonal/>
    </border>
    <border>
      <left style="double">
        <color rgb="FF000000"/>
      </left>
      <right/>
      <top/>
      <bottom style="double">
        <color rgb="FF000000"/>
      </bottom>
      <diagonal/>
    </border>
    <border>
      <left/>
      <right/>
      <top/>
      <bottom style="double">
        <color rgb="FF000000"/>
      </bottom>
      <diagonal/>
    </border>
    <border>
      <left/>
      <right style="double">
        <color rgb="FF000000"/>
      </right>
      <top/>
      <bottom style="double">
        <color rgb="FF000000"/>
      </bottom>
      <diagonal/>
    </border>
    <border>
      <left style="medium">
        <color rgb="FFFFFFFF"/>
      </left>
      <right/>
      <top/>
      <bottom/>
      <diagonal/>
    </border>
    <border>
      <left/>
      <right style="medium">
        <color rgb="FFFFFFFF"/>
      </right>
      <top/>
      <bottom style="thick">
        <color rgb="FFF9F8F6"/>
      </bottom>
      <diagonal/>
    </border>
    <border>
      <left style="medium">
        <color rgb="FFFFFFFF"/>
      </left>
      <right style="medium">
        <color rgb="FFFFFFFF"/>
      </right>
      <top/>
      <bottom/>
      <diagonal/>
    </border>
    <border>
      <left/>
      <right style="medium">
        <color rgb="FFFFFFFF"/>
      </right>
      <top style="medium">
        <color rgb="FFFFFFFF"/>
      </top>
      <bottom/>
      <diagonal/>
    </border>
  </borders>
  <cellStyleXfs count="6">
    <xf numFmtId="0" fontId="0" fillId="0" borderId="0"/>
    <xf numFmtId="0" fontId="8" fillId="0" borderId="0" applyNumberFormat="0" applyFill="0" applyBorder="0" applyAlignment="0" applyProtection="0"/>
    <xf numFmtId="0" fontId="29" fillId="0" borderId="0"/>
    <xf numFmtId="43" fontId="32" fillId="0" borderId="0" applyFont="0" applyFill="0" applyBorder="0" applyAlignment="0" applyProtection="0"/>
    <xf numFmtId="0" fontId="32" fillId="0" borderId="0"/>
    <xf numFmtId="43" fontId="32" fillId="0" borderId="0" applyFont="0" applyFill="0" applyBorder="0" applyAlignment="0" applyProtection="0"/>
  </cellStyleXfs>
  <cellXfs count="170">
    <xf numFmtId="0" fontId="0" fillId="0" borderId="0" xfId="0"/>
    <xf numFmtId="0" fontId="2" fillId="2"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5" fillId="0" borderId="2" xfId="0" applyFont="1" applyBorder="1"/>
    <xf numFmtId="0" fontId="6" fillId="0" borderId="3" xfId="0" applyFont="1" applyBorder="1" applyAlignment="1">
      <alignment horizontal="left"/>
    </xf>
    <xf numFmtId="0" fontId="5" fillId="0" borderId="4" xfId="0" applyFont="1" applyBorder="1"/>
    <xf numFmtId="1" fontId="4" fillId="4" borderId="1" xfId="0" applyNumberFormat="1" applyFont="1" applyFill="1" applyBorder="1" applyAlignment="1">
      <alignment horizontal="center" vertical="center"/>
    </xf>
    <xf numFmtId="1" fontId="4" fillId="5" borderId="1" xfId="0" applyNumberFormat="1" applyFont="1" applyFill="1" applyBorder="1" applyAlignment="1">
      <alignment horizontal="center" vertical="center"/>
    </xf>
    <xf numFmtId="0" fontId="0" fillId="0" borderId="0" xfId="0"/>
    <xf numFmtId="0" fontId="5" fillId="0" borderId="0" xfId="0" applyFont="1" applyBorder="1"/>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0" fillId="0" borderId="0" xfId="0"/>
    <xf numFmtId="0" fontId="3" fillId="6" borderId="5" xfId="0" applyNumberFormat="1" applyFont="1" applyFill="1" applyBorder="1" applyAlignment="1">
      <alignment horizontal="left" vertical="center"/>
    </xf>
    <xf numFmtId="0" fontId="3" fillId="6" borderId="6" xfId="0" applyNumberFormat="1" applyFont="1" applyFill="1" applyBorder="1" applyAlignment="1">
      <alignment horizontal="left" vertical="center"/>
    </xf>
    <xf numFmtId="0" fontId="4" fillId="7" borderId="1" xfId="0" applyNumberFormat="1" applyFont="1" applyFill="1" applyBorder="1" applyAlignment="1">
      <alignment horizontal="center" vertical="center" wrapText="1"/>
    </xf>
    <xf numFmtId="0" fontId="4" fillId="7" borderId="7" xfId="0" applyNumberFormat="1" applyFont="1" applyFill="1" applyBorder="1" applyAlignment="1">
      <alignment horizontal="center" vertical="center" wrapText="1"/>
    </xf>
    <xf numFmtId="0" fontId="3" fillId="6" borderId="1" xfId="0" applyNumberFormat="1" applyFont="1" applyFill="1" applyBorder="1" applyAlignment="1">
      <alignment horizontal="left" vertical="center" wrapText="1"/>
    </xf>
    <xf numFmtId="0" fontId="3" fillId="6" borderId="7" xfId="0" applyNumberFormat="1" applyFont="1" applyFill="1" applyBorder="1" applyAlignment="1">
      <alignment horizontal="left" vertical="center" wrapText="1"/>
    </xf>
    <xf numFmtId="0" fontId="4" fillId="8" borderId="1" xfId="0" applyNumberFormat="1" applyFont="1" applyFill="1" applyBorder="1" applyAlignment="1">
      <alignment horizontal="center" vertical="center" wrapText="1"/>
    </xf>
    <xf numFmtId="0" fontId="4" fillId="8" borderId="7" xfId="0" applyNumberFormat="1" applyFont="1" applyFill="1" applyBorder="1" applyAlignment="1">
      <alignment horizontal="center" vertical="center" wrapText="1"/>
    </xf>
    <xf numFmtId="1" fontId="4" fillId="8" borderId="1" xfId="0" applyNumberFormat="1" applyFont="1" applyFill="1" applyBorder="1" applyAlignment="1">
      <alignment horizontal="center" vertical="center"/>
    </xf>
    <xf numFmtId="1" fontId="4" fillId="8" borderId="7" xfId="0" applyNumberFormat="1" applyFont="1" applyFill="1" applyBorder="1" applyAlignment="1">
      <alignment horizontal="center" vertical="center"/>
    </xf>
    <xf numFmtId="0" fontId="7" fillId="0" borderId="0" xfId="0" applyFont="1"/>
    <xf numFmtId="0" fontId="5" fillId="9" borderId="4" xfId="0" applyFont="1" applyFill="1" applyBorder="1"/>
    <xf numFmtId="0" fontId="0" fillId="9" borderId="0" xfId="0" applyFill="1"/>
    <xf numFmtId="0" fontId="10" fillId="9" borderId="0" xfId="0" applyFont="1" applyFill="1" applyBorder="1" applyAlignment="1">
      <alignment horizontal="left"/>
    </xf>
    <xf numFmtId="0" fontId="9" fillId="9" borderId="0" xfId="1" applyFont="1" applyFill="1" applyBorder="1" applyAlignment="1">
      <alignment horizontal="left"/>
    </xf>
    <xf numFmtId="0" fontId="5" fillId="9" borderId="0" xfId="0" applyFont="1" applyFill="1" applyBorder="1"/>
    <xf numFmtId="0" fontId="1" fillId="9" borderId="1" xfId="0" applyFont="1" applyFill="1" applyBorder="1" applyAlignment="1">
      <alignment horizontal="left"/>
    </xf>
    <xf numFmtId="0" fontId="11" fillId="9" borderId="0" xfId="0" applyFont="1" applyFill="1" applyAlignment="1">
      <alignment horizontal="left" vertical="center"/>
    </xf>
    <xf numFmtId="0" fontId="13" fillId="9" borderId="0" xfId="0" applyFont="1" applyFill="1" applyAlignment="1">
      <alignment vertical="center"/>
    </xf>
    <xf numFmtId="0" fontId="0" fillId="9" borderId="0" xfId="0" applyFill="1" applyAlignment="1"/>
    <xf numFmtId="0" fontId="14" fillId="9" borderId="0" xfId="0" applyFont="1" applyFill="1" applyAlignment="1">
      <alignment vertical="center"/>
    </xf>
    <xf numFmtId="0" fontId="16" fillId="9" borderId="0" xfId="0" applyFont="1" applyFill="1" applyAlignment="1">
      <alignment vertical="center" wrapText="1"/>
    </xf>
    <xf numFmtId="0" fontId="13" fillId="9" borderId="0" xfId="0" applyFont="1" applyFill="1" applyAlignment="1">
      <alignment vertical="center" wrapText="1"/>
    </xf>
    <xf numFmtId="0" fontId="11" fillId="9" borderId="0" xfId="0" applyFont="1" applyFill="1" applyAlignment="1">
      <alignment vertical="center"/>
    </xf>
    <xf numFmtId="0" fontId="17" fillId="9" borderId="0" xfId="0" applyFont="1" applyFill="1" applyAlignment="1">
      <alignment vertical="center"/>
    </xf>
    <xf numFmtId="0" fontId="0" fillId="9" borderId="0" xfId="0" applyFill="1" applyAlignment="1">
      <alignment vertical="center"/>
    </xf>
    <xf numFmtId="0" fontId="17" fillId="9" borderId="0" xfId="0" applyFont="1" applyFill="1" applyAlignment="1">
      <alignment horizontal="left" vertical="center"/>
    </xf>
    <xf numFmtId="0" fontId="15" fillId="9" borderId="0" xfId="0" applyFont="1" applyFill="1" applyAlignment="1">
      <alignment horizontal="left" vertical="center" wrapText="1"/>
    </xf>
    <xf numFmtId="0" fontId="15" fillId="9" borderId="0" xfId="0" applyFont="1" applyFill="1" applyAlignment="1">
      <alignment vertical="center"/>
    </xf>
    <xf numFmtId="0" fontId="15" fillId="9" borderId="0" xfId="0" applyFont="1" applyFill="1" applyAlignment="1">
      <alignment vertical="center" wrapText="1"/>
    </xf>
    <xf numFmtId="0" fontId="13" fillId="9" borderId="0" xfId="0" applyFont="1" applyFill="1" applyAlignment="1">
      <alignment horizontal="left" vertical="center" wrapText="1"/>
    </xf>
    <xf numFmtId="0" fontId="18" fillId="9" borderId="0" xfId="0" applyFont="1" applyFill="1" applyAlignment="1">
      <alignment horizontal="left" vertical="center"/>
    </xf>
    <xf numFmtId="0" fontId="18" fillId="9" borderId="0" xfId="0" applyFont="1" applyFill="1" applyAlignment="1">
      <alignment horizontal="left" vertical="center" wrapText="1"/>
    </xf>
    <xf numFmtId="0" fontId="15" fillId="9" borderId="0" xfId="0" applyFont="1" applyFill="1"/>
    <xf numFmtId="15" fontId="17" fillId="9" borderId="0" xfId="0" applyNumberFormat="1" applyFont="1" applyFill="1"/>
    <xf numFmtId="0" fontId="17" fillId="9" borderId="0" xfId="0" applyFont="1" applyFill="1" applyAlignment="1"/>
    <xf numFmtId="0" fontId="15" fillId="9" borderId="0" xfId="0" applyFont="1" applyFill="1" applyAlignment="1"/>
    <xf numFmtId="15" fontId="17" fillId="9" borderId="0" xfId="0" applyNumberFormat="1" applyFont="1" applyFill="1" applyAlignment="1"/>
    <xf numFmtId="0" fontId="18" fillId="9" borderId="0" xfId="0" applyFont="1" applyFill="1" applyAlignment="1">
      <alignment horizontal="left" wrapText="1"/>
    </xf>
    <xf numFmtId="0" fontId="0" fillId="0" borderId="0" xfId="0"/>
    <xf numFmtId="0" fontId="0" fillId="0" borderId="0" xfId="0"/>
    <xf numFmtId="0" fontId="26" fillId="3" borderId="1" xfId="0" applyFont="1" applyFill="1" applyBorder="1" applyAlignment="1">
      <alignment horizontal="left" vertical="center" wrapText="1"/>
    </xf>
    <xf numFmtId="1" fontId="2" fillId="4" borderId="1" xfId="0" applyNumberFormat="1" applyFont="1" applyFill="1" applyBorder="1" applyAlignment="1">
      <alignment horizontal="center" vertical="center"/>
    </xf>
    <xf numFmtId="0" fontId="31" fillId="2" borderId="1" xfId="0" applyFont="1" applyFill="1" applyBorder="1" applyAlignment="1">
      <alignment horizontal="center" vertical="center" wrapText="1"/>
    </xf>
    <xf numFmtId="0" fontId="3" fillId="6" borderId="7" xfId="0" applyNumberFormat="1" applyFont="1" applyFill="1" applyBorder="1" applyAlignment="1">
      <alignment vertical="center" wrapText="1"/>
    </xf>
    <xf numFmtId="0" fontId="4" fillId="7" borderId="7" xfId="0" applyNumberFormat="1" applyFont="1" applyFill="1" applyBorder="1" applyAlignment="1">
      <alignment vertical="center" wrapText="1"/>
    </xf>
    <xf numFmtId="0" fontId="4" fillId="8" borderId="7" xfId="0" applyNumberFormat="1" applyFont="1" applyFill="1" applyBorder="1" applyAlignment="1">
      <alignment vertical="center" wrapText="1"/>
    </xf>
    <xf numFmtId="0" fontId="3" fillId="6" borderId="1" xfId="0" applyNumberFormat="1" applyFont="1" applyFill="1" applyBorder="1" applyAlignment="1">
      <alignment vertical="center" wrapText="1"/>
    </xf>
    <xf numFmtId="0" fontId="4" fillId="7" borderId="1" xfId="0" applyNumberFormat="1" applyFont="1" applyFill="1" applyBorder="1" applyAlignment="1">
      <alignment vertical="center" wrapText="1"/>
    </xf>
    <xf numFmtId="0" fontId="4" fillId="8" borderId="1" xfId="0" applyNumberFormat="1" applyFont="1" applyFill="1" applyBorder="1" applyAlignment="1">
      <alignment vertical="center" wrapText="1"/>
    </xf>
    <xf numFmtId="0" fontId="31" fillId="9" borderId="1" xfId="0" applyFont="1" applyFill="1" applyBorder="1" applyAlignment="1">
      <alignment horizontal="center" vertical="center" wrapText="1"/>
    </xf>
    <xf numFmtId="0" fontId="4" fillId="7" borderId="7" xfId="0" applyNumberFormat="1" applyFont="1" applyFill="1" applyBorder="1" applyAlignment="1">
      <alignment horizontal="left" vertical="center" wrapText="1"/>
    </xf>
    <xf numFmtId="0" fontId="4" fillId="8" borderId="7" xfId="0" quotePrefix="1" applyNumberFormat="1" applyFont="1" applyFill="1" applyBorder="1" applyAlignment="1">
      <alignment horizontal="left" vertical="center"/>
    </xf>
    <xf numFmtId="0" fontId="4" fillId="7" borderId="7" xfId="0" applyNumberFormat="1" applyFont="1" applyFill="1" applyBorder="1" applyAlignment="1">
      <alignment horizontal="left" vertical="center"/>
    </xf>
    <xf numFmtId="0" fontId="4" fillId="7" borderId="1" xfId="0" applyNumberFormat="1" applyFont="1" applyFill="1" applyBorder="1" applyAlignment="1">
      <alignment horizontal="left" vertical="center" wrapText="1"/>
    </xf>
    <xf numFmtId="0" fontId="4" fillId="8" borderId="1" xfId="0" quotePrefix="1" applyNumberFormat="1" applyFont="1" applyFill="1" applyBorder="1" applyAlignment="1">
      <alignment horizontal="left" vertical="center"/>
    </xf>
    <xf numFmtId="0" fontId="4" fillId="7" borderId="1" xfId="0" applyNumberFormat="1" applyFont="1" applyFill="1" applyBorder="1" applyAlignment="1">
      <alignment horizontal="left" vertical="center"/>
    </xf>
    <xf numFmtId="0" fontId="4" fillId="8" borderId="1" xfId="0" applyNumberFormat="1" applyFont="1" applyFill="1" applyBorder="1" applyAlignment="1">
      <alignment horizontal="left" vertical="center"/>
    </xf>
    <xf numFmtId="0" fontId="31" fillId="2" borderId="6" xfId="0" applyFont="1" applyFill="1" applyBorder="1" applyAlignment="1">
      <alignment horizontal="center" vertical="center" wrapText="1"/>
    </xf>
    <xf numFmtId="0" fontId="31" fillId="2" borderId="7" xfId="0" applyFont="1" applyFill="1" applyBorder="1" applyAlignment="1">
      <alignment horizontal="center" vertical="center" wrapText="1"/>
    </xf>
    <xf numFmtId="0" fontId="0" fillId="9" borderId="0" xfId="0" applyFill="1"/>
    <xf numFmtId="0" fontId="3" fillId="6" borderId="9" xfId="0" applyNumberFormat="1" applyFont="1" applyFill="1" applyBorder="1" applyAlignment="1">
      <alignment horizontal="left" vertical="center" wrapText="1"/>
    </xf>
    <xf numFmtId="1" fontId="4" fillId="7" borderId="1" xfId="0" applyNumberFormat="1" applyFont="1" applyFill="1" applyBorder="1" applyAlignment="1">
      <alignment horizontal="center" vertical="center"/>
    </xf>
    <xf numFmtId="1" fontId="4" fillId="7" borderId="7" xfId="0" applyNumberFormat="1" applyFont="1" applyFill="1" applyBorder="1" applyAlignment="1">
      <alignment horizontal="center" vertical="center"/>
    </xf>
    <xf numFmtId="1" fontId="4" fillId="7" borderId="9" xfId="0" applyNumberFormat="1" applyFont="1" applyFill="1" applyBorder="1" applyAlignment="1">
      <alignment horizontal="center" vertical="center"/>
    </xf>
    <xf numFmtId="1" fontId="4" fillId="8" borderId="9" xfId="0" applyNumberFormat="1" applyFont="1" applyFill="1" applyBorder="1" applyAlignment="1">
      <alignment horizontal="center" vertical="center"/>
    </xf>
    <xf numFmtId="0" fontId="0" fillId="9" borderId="0" xfId="0" applyFill="1"/>
    <xf numFmtId="1" fontId="4" fillId="8" borderId="7" xfId="0" applyNumberFormat="1" applyFont="1" applyFill="1" applyBorder="1" applyAlignment="1">
      <alignment vertical="center"/>
    </xf>
    <xf numFmtId="1" fontId="4" fillId="8" borderId="1" xfId="0" applyNumberFormat="1" applyFont="1" applyFill="1" applyBorder="1" applyAlignment="1">
      <alignment vertical="center"/>
    </xf>
    <xf numFmtId="164" fontId="4" fillId="4" borderId="1" xfId="3" applyNumberFormat="1" applyFont="1" applyFill="1" applyBorder="1" applyAlignment="1">
      <alignment horizontal="center" vertical="center"/>
    </xf>
    <xf numFmtId="164" fontId="4" fillId="5" borderId="1" xfId="3" applyNumberFormat="1" applyFont="1" applyFill="1" applyBorder="1" applyAlignment="1">
      <alignment horizontal="center" vertical="center"/>
    </xf>
    <xf numFmtId="0" fontId="0" fillId="9" borderId="0" xfId="0" applyFill="1"/>
    <xf numFmtId="0" fontId="4" fillId="7" borderId="15" xfId="0" applyNumberFormat="1" applyFont="1" applyFill="1" applyBorder="1" applyAlignment="1">
      <alignment horizontal="left" vertical="center"/>
    </xf>
    <xf numFmtId="0" fontId="4" fillId="8" borderId="15" xfId="0" applyNumberFormat="1" applyFont="1" applyFill="1" applyBorder="1" applyAlignment="1">
      <alignment horizontal="left" vertical="center"/>
    </xf>
    <xf numFmtId="0" fontId="25" fillId="2" borderId="1" xfId="0" applyFont="1" applyFill="1" applyBorder="1" applyAlignment="1">
      <alignment horizontal="center" vertical="center" wrapText="1"/>
    </xf>
    <xf numFmtId="165" fontId="4" fillId="7" borderId="7" xfId="3" applyNumberFormat="1" applyFont="1" applyFill="1" applyBorder="1" applyAlignment="1">
      <alignment horizontal="center" vertical="center"/>
    </xf>
    <xf numFmtId="165" fontId="4" fillId="8" borderId="7" xfId="3" applyNumberFormat="1" applyFont="1" applyFill="1" applyBorder="1" applyAlignment="1">
      <alignment horizontal="center" vertical="center"/>
    </xf>
    <xf numFmtId="165" fontId="4" fillId="7" borderId="1" xfId="3" applyNumberFormat="1" applyFont="1" applyFill="1" applyBorder="1" applyAlignment="1">
      <alignment horizontal="center" vertical="center"/>
    </xf>
    <xf numFmtId="165" fontId="4" fillId="8" borderId="1" xfId="3" applyNumberFormat="1" applyFont="1" applyFill="1" applyBorder="1" applyAlignment="1">
      <alignment horizontal="center" vertical="center"/>
    </xf>
    <xf numFmtId="165" fontId="4" fillId="7" borderId="9" xfId="3" applyNumberFormat="1" applyFont="1" applyFill="1" applyBorder="1" applyAlignment="1">
      <alignment horizontal="center" vertical="center"/>
    </xf>
    <xf numFmtId="165" fontId="4" fillId="8" borderId="9" xfId="3" applyNumberFormat="1" applyFont="1" applyFill="1" applyBorder="1" applyAlignment="1">
      <alignment horizontal="center" vertical="center"/>
    </xf>
    <xf numFmtId="165" fontId="0" fillId="9" borderId="0" xfId="3" applyNumberFormat="1" applyFont="1" applyFill="1"/>
    <xf numFmtId="165" fontId="2" fillId="4" borderId="1" xfId="3" applyNumberFormat="1" applyFont="1" applyFill="1" applyBorder="1" applyAlignment="1">
      <alignment horizontal="center" vertical="center"/>
    </xf>
    <xf numFmtId="165" fontId="4" fillId="4" borderId="1" xfId="3" applyNumberFormat="1" applyFont="1" applyFill="1" applyBorder="1" applyAlignment="1">
      <alignment horizontal="center" vertical="center"/>
    </xf>
    <xf numFmtId="165" fontId="4" fillId="5" borderId="1" xfId="3" applyNumberFormat="1" applyFont="1" applyFill="1" applyBorder="1" applyAlignment="1">
      <alignment horizontal="center" vertical="center"/>
    </xf>
    <xf numFmtId="0" fontId="0" fillId="9" borderId="0" xfId="0" applyFill="1" applyAlignment="1">
      <alignment horizontal="left" vertical="top" wrapText="1"/>
    </xf>
    <xf numFmtId="165" fontId="4" fillId="8" borderId="7" xfId="3" applyNumberFormat="1" applyFont="1" applyFill="1" applyBorder="1" applyAlignment="1">
      <alignment vertical="center"/>
    </xf>
    <xf numFmtId="165" fontId="4" fillId="8" borderId="1" xfId="3" applyNumberFormat="1" applyFont="1" applyFill="1" applyBorder="1" applyAlignment="1">
      <alignment vertical="center"/>
    </xf>
    <xf numFmtId="0" fontId="2" fillId="4"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1" fontId="2" fillId="5" borderId="1" xfId="0" applyNumberFormat="1" applyFont="1" applyFill="1" applyBorder="1" applyAlignment="1">
      <alignment horizontal="center" vertical="center"/>
    </xf>
    <xf numFmtId="0" fontId="1" fillId="9" borderId="0" xfId="4" applyFont="1" applyFill="1" applyAlignment="1">
      <alignment horizontal="left" vertical="center"/>
    </xf>
    <xf numFmtId="0" fontId="32" fillId="9" borderId="0" xfId="4" applyFill="1"/>
    <xf numFmtId="0" fontId="15" fillId="9" borderId="0" xfId="4" applyFont="1" applyFill="1" applyAlignment="1">
      <alignment vertical="top" wrapText="1"/>
    </xf>
    <xf numFmtId="0" fontId="18" fillId="9" borderId="0" xfId="4" applyFont="1" applyFill="1" applyAlignment="1">
      <alignment vertical="center"/>
    </xf>
    <xf numFmtId="0" fontId="11" fillId="9" borderId="0" xfId="4" applyFont="1" applyFill="1" applyAlignment="1">
      <alignment vertical="center"/>
    </xf>
    <xf numFmtId="0" fontId="22" fillId="9" borderId="0" xfId="4" applyFont="1" applyFill="1" applyAlignment="1">
      <alignment horizontal="left" vertical="center" indent="2"/>
    </xf>
    <xf numFmtId="0" fontId="24" fillId="9" borderId="0" xfId="4" applyFont="1" applyFill="1" applyAlignment="1">
      <alignment vertical="center"/>
    </xf>
    <xf numFmtId="0" fontId="25" fillId="10" borderId="14" xfId="4" applyFont="1" applyFill="1" applyBorder="1" applyAlignment="1">
      <alignment horizontal="left" vertical="center"/>
    </xf>
    <xf numFmtId="0" fontId="26" fillId="6" borderId="6" xfId="4" applyFont="1" applyFill="1" applyBorder="1" applyAlignment="1">
      <alignment vertical="center" wrapText="1"/>
    </xf>
    <xf numFmtId="0" fontId="27" fillId="9" borderId="13" xfId="4" applyFont="1" applyFill="1" applyBorder="1" applyAlignment="1">
      <alignment horizontal="center" vertical="center" wrapText="1"/>
    </xf>
    <xf numFmtId="0" fontId="28" fillId="9" borderId="0" xfId="4" applyFont="1" applyFill="1" applyAlignment="1">
      <alignment horizontal="justify" vertical="center"/>
    </xf>
    <xf numFmtId="0" fontId="1" fillId="9" borderId="0" xfId="4" applyFont="1" applyFill="1" applyAlignment="1">
      <alignment vertical="center"/>
    </xf>
    <xf numFmtId="0" fontId="32" fillId="9" borderId="0" xfId="4" applyFill="1" applyAlignment="1"/>
    <xf numFmtId="0" fontId="18" fillId="9" borderId="0" xfId="4" applyFont="1" applyFill="1" applyAlignment="1">
      <alignment horizontal="left" vertical="center" indent="2"/>
    </xf>
    <xf numFmtId="0" fontId="24" fillId="9" borderId="0" xfId="4" applyFont="1" applyFill="1" applyAlignment="1">
      <alignment horizontal="left" vertical="center"/>
    </xf>
    <xf numFmtId="0" fontId="25" fillId="10" borderId="13" xfId="4" applyFont="1" applyFill="1" applyBorder="1" applyAlignment="1">
      <alignment horizontal="left" vertical="center"/>
    </xf>
    <xf numFmtId="0" fontId="21" fillId="9" borderId="6" xfId="4" applyFont="1" applyFill="1" applyBorder="1" applyAlignment="1">
      <alignment vertical="center"/>
    </xf>
    <xf numFmtId="0" fontId="15" fillId="9" borderId="0" xfId="0" applyFont="1" applyFill="1" applyAlignment="1">
      <alignment vertical="center"/>
    </xf>
    <xf numFmtId="0" fontId="11" fillId="9" borderId="0" xfId="0" applyFont="1" applyFill="1" applyAlignment="1">
      <alignment horizontal="left" vertical="center"/>
    </xf>
    <xf numFmtId="15" fontId="17" fillId="9" borderId="0" xfId="0" applyNumberFormat="1" applyFont="1" applyFill="1"/>
    <xf numFmtId="0" fontId="4" fillId="8" borderId="15" xfId="0" quotePrefix="1" applyNumberFormat="1" applyFont="1" applyFill="1" applyBorder="1" applyAlignment="1">
      <alignment horizontal="left" vertical="center"/>
    </xf>
    <xf numFmtId="0" fontId="25" fillId="2" borderId="1" xfId="0" applyFont="1" applyFill="1" applyBorder="1" applyAlignment="1">
      <alignment horizontal="center" vertical="center"/>
    </xf>
    <xf numFmtId="0" fontId="0" fillId="0" borderId="0" xfId="0" applyAlignment="1">
      <alignment vertical="center"/>
    </xf>
    <xf numFmtId="0" fontId="0" fillId="0" borderId="0" xfId="0"/>
    <xf numFmtId="0" fontId="11" fillId="9" borderId="0" xfId="0" applyFont="1" applyFill="1" applyAlignment="1">
      <alignment horizontal="left" vertical="center"/>
    </xf>
    <xf numFmtId="0" fontId="19" fillId="9" borderId="0" xfId="0" applyFont="1" applyFill="1" applyAlignment="1">
      <alignment horizontal="left" vertical="top" wrapText="1"/>
    </xf>
    <xf numFmtId="0" fontId="0" fillId="0" borderId="0" xfId="0"/>
    <xf numFmtId="0" fontId="4" fillId="8" borderId="15" xfId="0" applyNumberFormat="1" applyFont="1" applyFill="1" applyBorder="1" applyAlignment="1">
      <alignment vertical="center" wrapText="1"/>
    </xf>
    <xf numFmtId="0" fontId="30" fillId="0" borderId="0" xfId="0" applyFont="1"/>
    <xf numFmtId="0" fontId="12" fillId="0" borderId="0" xfId="0" applyFont="1"/>
    <xf numFmtId="0" fontId="19" fillId="9" borderId="0" xfId="0" applyFont="1" applyFill="1"/>
    <xf numFmtId="0" fontId="3" fillId="6" borderId="16" xfId="0" applyNumberFormat="1" applyFont="1" applyFill="1" applyBorder="1" applyAlignment="1">
      <alignment horizontal="left" vertical="center"/>
    </xf>
    <xf numFmtId="0" fontId="4" fillId="7" borderId="9" xfId="0" applyNumberFormat="1" applyFont="1" applyFill="1" applyBorder="1" applyAlignment="1">
      <alignment horizontal="left" vertical="center" wrapText="1"/>
    </xf>
    <xf numFmtId="0" fontId="4" fillId="8" borderId="9" xfId="0" applyNumberFormat="1" applyFont="1" applyFill="1" applyBorder="1" applyAlignment="1">
      <alignment horizontal="left" vertical="center"/>
    </xf>
    <xf numFmtId="0" fontId="4" fillId="7" borderId="9" xfId="0" applyNumberFormat="1" applyFont="1" applyFill="1" applyBorder="1" applyAlignment="1">
      <alignment horizontal="left" vertical="center"/>
    </xf>
    <xf numFmtId="0" fontId="34" fillId="0" borderId="0" xfId="0" applyFont="1" applyAlignment="1">
      <alignment horizontal="left" vertical="top" wrapText="1"/>
    </xf>
    <xf numFmtId="0" fontId="9" fillId="9" borderId="10" xfId="1" applyFont="1" applyFill="1" applyBorder="1" applyAlignment="1">
      <alignment horizontal="left"/>
    </xf>
    <xf numFmtId="0" fontId="9" fillId="9" borderId="11" xfId="1" applyFont="1" applyFill="1" applyBorder="1" applyAlignment="1">
      <alignment horizontal="left"/>
    </xf>
    <xf numFmtId="0" fontId="9" fillId="9" borderId="12" xfId="1" applyFont="1" applyFill="1" applyBorder="1" applyAlignment="1">
      <alignment horizontal="left"/>
    </xf>
    <xf numFmtId="0" fontId="11" fillId="9" borderId="0" xfId="0" applyFont="1" applyFill="1" applyAlignment="1">
      <alignment horizontal="left" vertical="center"/>
    </xf>
    <xf numFmtId="0" fontId="15" fillId="9" borderId="0" xfId="0" applyFont="1" applyFill="1" applyAlignment="1">
      <alignment horizontal="left" vertical="center" wrapText="1"/>
    </xf>
    <xf numFmtId="0" fontId="19" fillId="9" borderId="0" xfId="0" applyFont="1" applyFill="1" applyAlignment="1">
      <alignment horizontal="left" vertical="top" wrapText="1"/>
    </xf>
    <xf numFmtId="0" fontId="4" fillId="0" borderId="0" xfId="0" applyFont="1" applyAlignment="1">
      <alignment wrapText="1"/>
    </xf>
    <xf numFmtId="0" fontId="0" fillId="0" borderId="0" xfId="0"/>
    <xf numFmtId="0" fontId="13" fillId="9" borderId="0" xfId="0" applyFont="1" applyFill="1" applyAlignment="1">
      <alignment horizontal="left" vertical="center" wrapText="1"/>
    </xf>
    <xf numFmtId="0" fontId="18" fillId="9" borderId="0" xfId="0" applyFont="1" applyFill="1" applyAlignment="1">
      <alignment horizontal="left" wrapText="1"/>
    </xf>
    <xf numFmtId="0" fontId="13" fillId="9" borderId="0" xfId="0" applyFont="1" applyFill="1" applyAlignment="1">
      <alignment horizontal="left" vertical="center"/>
    </xf>
    <xf numFmtId="0" fontId="15" fillId="9" borderId="0" xfId="0" applyFont="1" applyFill="1" applyAlignment="1">
      <alignment horizontal="left" wrapText="1"/>
    </xf>
    <xf numFmtId="0" fontId="18" fillId="9" borderId="0" xfId="0" applyFont="1" applyFill="1" applyAlignment="1">
      <alignment horizontal="left" vertical="center" wrapText="1"/>
    </xf>
    <xf numFmtId="0" fontId="27" fillId="0" borderId="0" xfId="0" applyFont="1" applyAlignment="1">
      <alignment horizontal="left" vertical="top" wrapText="1"/>
    </xf>
    <xf numFmtId="0" fontId="35" fillId="0" borderId="0" xfId="0" applyFont="1" applyAlignment="1">
      <alignment horizontal="left" vertical="top"/>
    </xf>
    <xf numFmtId="0" fontId="5" fillId="9" borderId="0" xfId="0" applyFont="1" applyFill="1" applyAlignment="1">
      <alignment horizontal="left" vertical="top" wrapText="1"/>
    </xf>
    <xf numFmtId="0" fontId="0" fillId="9" borderId="0" xfId="0" applyFill="1" applyAlignment="1">
      <alignment horizontal="left" vertical="top" wrapText="1"/>
    </xf>
    <xf numFmtId="0" fontId="27" fillId="0" borderId="0" xfId="0" applyFont="1" applyAlignment="1">
      <alignment wrapText="1"/>
    </xf>
    <xf numFmtId="0" fontId="35" fillId="0" borderId="0" xfId="0" applyFont="1"/>
    <xf numFmtId="0" fontId="18" fillId="9" borderId="0" xfId="4" applyFont="1" applyFill="1" applyAlignment="1">
      <alignment horizontal="left" vertical="center" wrapText="1"/>
    </xf>
    <xf numFmtId="0" fontId="15" fillId="9" borderId="0" xfId="4" applyFont="1" applyFill="1" applyAlignment="1">
      <alignment horizontal="left" vertical="center" wrapText="1"/>
    </xf>
    <xf numFmtId="0" fontId="15" fillId="9" borderId="0" xfId="4" applyFont="1" applyFill="1" applyAlignment="1">
      <alignment vertical="top" wrapText="1"/>
    </xf>
    <xf numFmtId="0" fontId="25" fillId="10" borderId="13" xfId="4" applyFont="1" applyFill="1" applyBorder="1" applyAlignment="1">
      <alignment horizontal="left" vertical="center"/>
    </xf>
    <xf numFmtId="0" fontId="25" fillId="10" borderId="0" xfId="4" applyFont="1" applyFill="1" applyBorder="1" applyAlignment="1">
      <alignment horizontal="left" vertical="center"/>
    </xf>
    <xf numFmtId="0" fontId="33" fillId="9" borderId="0" xfId="4" applyFont="1" applyFill="1" applyAlignment="1">
      <alignment horizontal="left" vertical="center" wrapText="1" indent="2"/>
    </xf>
    <xf numFmtId="0" fontId="18" fillId="9" borderId="0" xfId="4" applyFont="1" applyFill="1" applyAlignment="1">
      <alignment horizontal="left" vertical="center" wrapText="1" indent="2"/>
    </xf>
    <xf numFmtId="0" fontId="22" fillId="9" borderId="0" xfId="4" applyFont="1" applyFill="1" applyAlignment="1">
      <alignment horizontal="left" vertical="center" wrapText="1"/>
    </xf>
    <xf numFmtId="0" fontId="27" fillId="9" borderId="13" xfId="4" applyFont="1" applyFill="1" applyBorder="1" applyAlignment="1">
      <alignment horizontal="left" vertical="center" wrapText="1"/>
    </xf>
    <xf numFmtId="0" fontId="27" fillId="9" borderId="0" xfId="4" applyFont="1" applyFill="1" applyBorder="1" applyAlignment="1">
      <alignment horizontal="left" vertical="center" wrapText="1"/>
    </xf>
    <xf numFmtId="0" fontId="27" fillId="9" borderId="0" xfId="4" applyFont="1" applyFill="1" applyAlignment="1">
      <alignment horizontal="left" vertical="center" wrapText="1"/>
    </xf>
  </cellXfs>
  <cellStyles count="6">
    <cellStyle name="Comma" xfId="3" builtinId="3"/>
    <cellStyle name="Comma 2" xfId="5" xr:uid="{00000000-0005-0000-0000-000033000000}"/>
    <cellStyle name="Hyperlink" xfId="1" builtinId="8"/>
    <cellStyle name="Normal" xfId="0" builtinId="0"/>
    <cellStyle name="Normal 2" xfId="2" xr:uid="{00000000-0005-0000-0000-000003000000}"/>
    <cellStyle name="Normal 2 2" xfId="4" xr:uid="{2C0D4C46-7D19-4CEE-9E9A-B8DEF40ACA07}"/>
  </cellStyles>
  <dxfs count="144">
    <dxf>
      <font>
        <sz val="8"/>
        <name val="Arial"/>
        <family val="2"/>
        <scheme val="none"/>
      </font>
      <numFmt numFmtId="0" formatCode="General"/>
      <fill>
        <patternFill patternType="solid">
          <fgColor indexed="64"/>
          <bgColor rgb="FFE7E3DC"/>
        </patternFill>
      </fill>
      <alignment horizontal="left" vertical="center" textRotation="0" wrapText="0" indent="0" justifyLastLine="0" shrinkToFit="0" readingOrder="0"/>
      <border diagonalUp="0" diagonalDown="0">
        <left style="medium">
          <color rgb="FFFFFFFF"/>
        </left>
        <right style="medium">
          <color rgb="FFFFFFFF"/>
        </right>
        <top/>
        <bottom/>
        <vertical/>
        <horizontal/>
      </border>
    </dxf>
    <dxf>
      <font>
        <sz val="8"/>
        <name val="Arial"/>
        <family val="2"/>
        <scheme val="none"/>
      </font>
      <numFmt numFmtId="0" formatCode="General"/>
      <fill>
        <patternFill patternType="solid">
          <fgColor indexed="64"/>
          <bgColor rgb="FFF9F8F6"/>
        </patternFill>
      </fill>
      <alignment horizontal="left" vertical="center" textRotation="0" wrapText="0" indent="0" justifyLastLine="0" shrinkToFit="0" readingOrder="0"/>
      <border diagonalUp="0" diagonalDown="0">
        <left style="medium">
          <color rgb="FFFFFFFF"/>
        </left>
        <right style="medium">
          <color rgb="FFFFFFFF"/>
        </right>
        <top/>
        <bottom/>
        <vertical/>
        <horizontal/>
      </border>
    </dxf>
    <dxf>
      <font>
        <sz val="8"/>
        <name val="Arial"/>
        <family val="2"/>
        <scheme val="none"/>
      </font>
      <numFmt numFmtId="0" formatCode="General"/>
      <fill>
        <patternFill patternType="solid">
          <fgColor indexed="64"/>
          <bgColor rgb="FFE7E3DC"/>
        </patternFill>
      </fill>
      <alignment horizontal="left" vertical="center" textRotation="0" wrapText="0" indent="0" justifyLastLine="0" shrinkToFit="0" readingOrder="0"/>
      <border diagonalUp="0" diagonalDown="0">
        <left style="medium">
          <color rgb="FFFFFFFF"/>
        </left>
        <right style="medium">
          <color rgb="FFFFFFFF"/>
        </right>
        <top/>
        <bottom/>
        <vertical/>
        <horizontal/>
      </border>
    </dxf>
    <dxf>
      <font>
        <b val="0"/>
        <i val="0"/>
        <strike val="0"/>
        <condense val="0"/>
        <extend val="0"/>
        <outline val="0"/>
        <shadow val="0"/>
        <u val="none"/>
        <vertAlign val="baseline"/>
        <sz val="8"/>
        <color rgb="FF000000"/>
        <name val="Arial"/>
        <family val="2"/>
        <scheme val="none"/>
      </font>
      <numFmt numFmtId="0" formatCode="General"/>
      <fill>
        <patternFill patternType="solid">
          <fgColor indexed="64"/>
          <bgColor rgb="FFF9F8F6"/>
        </patternFill>
      </fill>
      <alignment horizontal="left" vertical="center" textRotation="0" wrapText="0" indent="0" justifyLastLine="0" shrinkToFit="0" readingOrder="0"/>
      <border diagonalUp="0" diagonalDown="0">
        <left style="medium">
          <color rgb="FFFFFFFF"/>
        </left>
        <right style="medium">
          <color rgb="FFFFFFFF"/>
        </right>
        <top/>
        <bottom/>
        <vertical/>
        <horizontal/>
      </border>
    </dxf>
    <dxf>
      <font>
        <sz val="8"/>
        <name val="Arial"/>
        <family val="2"/>
        <scheme val="none"/>
      </font>
      <numFmt numFmtId="0" formatCode="General"/>
      <fill>
        <patternFill patternType="solid">
          <fgColor indexed="64"/>
          <bgColor rgb="FFE7E3DC"/>
        </patternFill>
      </fill>
      <alignment horizontal="left" vertical="center" textRotation="0" wrapText="0" indent="0" justifyLastLine="0" shrinkToFit="0" readingOrder="0"/>
      <border diagonalUp="0" diagonalDown="0">
        <left style="medium">
          <color rgb="FFFFFFFF"/>
        </left>
        <right style="medium">
          <color rgb="FFFFFFFF"/>
        </right>
        <top/>
        <bottom/>
        <vertical/>
        <horizontal/>
      </border>
    </dxf>
    <dxf>
      <font>
        <sz val="8"/>
        <name val="Arial"/>
        <family val="2"/>
        <scheme val="none"/>
      </font>
      <numFmt numFmtId="0" formatCode="General"/>
      <fill>
        <patternFill patternType="solid">
          <fgColor indexed="64"/>
          <bgColor rgb="FFF9F8F6"/>
        </patternFill>
      </fill>
      <alignment horizontal="left"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sz val="8"/>
        <name val="Arial"/>
        <family val="2"/>
        <scheme val="none"/>
      </font>
      <numFmt numFmtId="0" formatCode="General"/>
      <fill>
        <patternFill patternType="solid">
          <fgColor indexed="64"/>
          <bgColor rgb="FFE7E3DC"/>
        </patternFill>
      </fill>
      <alignment horizontal="left"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sz val="8"/>
        <name val="Arial"/>
        <family val="2"/>
        <scheme val="none"/>
      </font>
      <numFmt numFmtId="0" formatCode="General"/>
      <fill>
        <patternFill patternType="solid">
          <fgColor indexed="64"/>
          <bgColor rgb="FFF9F8F6"/>
        </patternFill>
      </fill>
      <alignment horizontal="left"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sz val="8"/>
        <name val="Arial"/>
        <family val="2"/>
        <scheme val="none"/>
      </font>
      <numFmt numFmtId="0" formatCode="General"/>
      <fill>
        <patternFill patternType="solid">
          <fgColor indexed="64"/>
          <bgColor rgb="FFE7E3DC"/>
        </patternFill>
      </fill>
      <alignment horizontal="left"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sz val="8"/>
        <name val="Arial"/>
        <family val="2"/>
        <scheme val="none"/>
      </font>
      <numFmt numFmtId="0" formatCode="General"/>
      <fill>
        <patternFill patternType="solid">
          <fgColor indexed="64"/>
          <bgColor rgb="FFF9F8F6"/>
        </patternFill>
      </fill>
      <alignment horizontal="left"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sz val="8"/>
        <name val="Arial"/>
        <family val="2"/>
        <scheme val="none"/>
      </font>
      <numFmt numFmtId="0" formatCode="General"/>
      <fill>
        <patternFill patternType="solid">
          <fgColor indexed="64"/>
          <bgColor rgb="FFE7E3DC"/>
        </patternFill>
      </fill>
      <alignment horizontal="left"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sz val="8"/>
        <name val="Arial"/>
        <family val="2"/>
        <scheme val="none"/>
      </font>
      <numFmt numFmtId="0" formatCode="General"/>
      <fill>
        <patternFill patternType="solid">
          <fgColor indexed="64"/>
          <bgColor rgb="FFF9F8F6"/>
        </patternFill>
      </fill>
      <alignment horizontal="left"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sz val="8"/>
        <name val="Arial"/>
        <family val="2"/>
        <scheme val="none"/>
      </font>
      <numFmt numFmtId="0" formatCode="General"/>
      <fill>
        <patternFill patternType="solid">
          <fgColor indexed="64"/>
          <bgColor rgb="FFE7E3DC"/>
        </patternFill>
      </fill>
      <alignment horizontal="left"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sz val="8"/>
        <name val="Arial"/>
        <family val="2"/>
        <scheme val="none"/>
      </font>
      <numFmt numFmtId="0" formatCode="General"/>
      <fill>
        <patternFill patternType="solid">
          <fgColor indexed="64"/>
          <bgColor rgb="FFF9F8F6"/>
        </patternFill>
      </fill>
      <alignment horizontal="left" vertical="center" textRotation="0" wrapText="1"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sz val="8"/>
        <color rgb="FFFFFFFF"/>
        <name val="Arial"/>
        <family val="2"/>
        <scheme val="none"/>
      </font>
      <numFmt numFmtId="0" formatCode="General"/>
      <fill>
        <patternFill patternType="solid">
          <fgColor indexed="64"/>
          <bgColor rgb="FF948671"/>
        </patternFill>
      </fill>
      <alignment horizontal="left" vertical="center" textRotation="0" wrapText="0" indent="0" justifyLastLine="0" shrinkToFit="0" readingOrder="0"/>
      <border diagonalUp="0" diagonalDown="0">
        <left/>
        <right style="medium">
          <color rgb="FFFFFFFF"/>
        </right>
        <top style="medium">
          <color rgb="FFFFFFFF"/>
        </top>
        <bottom style="medium">
          <color rgb="FFFFFFFF"/>
        </bottom>
        <vertical/>
        <horizontal/>
      </border>
    </dxf>
    <dxf>
      <border outline="0">
        <left style="medium">
          <color rgb="FFFFFFFF"/>
        </left>
        <right style="medium">
          <color rgb="FFFFFFFF"/>
        </right>
        <top style="medium">
          <color rgb="FFFFFFFF"/>
        </top>
        <bottom style="medium">
          <color rgb="FFFFFFFF"/>
        </bottom>
      </border>
    </dxf>
    <dxf>
      <border outline="0">
        <bottom style="medium">
          <color rgb="FFFFFFFF"/>
        </bottom>
      </border>
    </dxf>
    <dxf>
      <font>
        <b/>
        <i val="0"/>
        <strike val="0"/>
        <condense val="0"/>
        <extend val="0"/>
        <outline val="0"/>
        <shadow val="0"/>
        <u val="none"/>
        <vertAlign val="baseline"/>
        <sz val="8"/>
        <color rgb="FF000000"/>
        <name val="Arial"/>
        <family val="2"/>
        <scheme val="none"/>
      </font>
      <fill>
        <patternFill patternType="solid">
          <fgColor indexed="64"/>
          <bgColor rgb="FFFFC222"/>
        </patternFill>
      </fill>
      <alignment horizontal="center" vertical="center" textRotation="0" wrapText="1" indent="0" justifyLastLine="0" shrinkToFit="0" readingOrder="0"/>
      <border diagonalUp="0" diagonalDown="0" outline="0">
        <left style="medium">
          <color rgb="FFFFFFFF"/>
        </left>
        <right style="medium">
          <color rgb="FFFFFFFF"/>
        </right>
        <top/>
        <bottom/>
      </border>
    </dxf>
    <dxf>
      <font>
        <sz val="8"/>
        <name val="Arial"/>
        <family val="2"/>
        <scheme val="none"/>
      </font>
      <numFmt numFmtId="1" formatCode="0"/>
      <fill>
        <patternFill patternType="solid">
          <fgColor indexed="64"/>
          <bgColor rgb="FFE7E3DC"/>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sz val="8"/>
        <name val="Arial"/>
        <family val="2"/>
        <scheme val="none"/>
      </font>
      <numFmt numFmtId="0" formatCode="General"/>
      <fill>
        <patternFill patternType="solid">
          <fgColor indexed="64"/>
          <bgColor rgb="FFF9F8F6"/>
        </patternFill>
      </fill>
      <alignment horizontal="center" vertical="center" textRotation="0" wrapText="1"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sz val="8"/>
        <name val="Arial"/>
        <family val="2"/>
        <scheme val="none"/>
      </font>
      <numFmt numFmtId="1" formatCode="0"/>
      <fill>
        <patternFill patternType="solid">
          <fgColor indexed="64"/>
          <bgColor rgb="FFE7E3DC"/>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sz val="8"/>
        <name val="Arial"/>
        <family val="2"/>
        <scheme val="none"/>
      </font>
      <numFmt numFmtId="0" formatCode="General"/>
      <fill>
        <patternFill patternType="solid">
          <fgColor indexed="64"/>
          <bgColor rgb="FFF9F8F6"/>
        </patternFill>
      </fill>
      <alignment horizontal="general" vertical="center" textRotation="0" wrapText="1" indent="0" justifyLastLine="0" shrinkToFit="0" readingOrder="0"/>
      <border diagonalUp="0" diagonalDown="0">
        <left style="medium">
          <color rgb="FFFFFFFF"/>
        </left>
        <right style="medium">
          <color rgb="FFFFFFFF"/>
        </right>
        <top/>
        <bottom style="medium">
          <color rgb="FFFFFFFF"/>
        </bottom>
        <vertical/>
        <horizontal/>
      </border>
    </dxf>
    <dxf>
      <font>
        <sz val="8"/>
        <name val="Arial"/>
        <family val="2"/>
        <scheme val="none"/>
      </font>
      <numFmt numFmtId="1" formatCode="0"/>
      <fill>
        <patternFill patternType="solid">
          <fgColor indexed="64"/>
          <bgColor rgb="FFE7E3DC"/>
        </patternFill>
      </fill>
      <alignment horizontal="general"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sz val="8"/>
        <name val="Arial"/>
        <family val="2"/>
        <scheme val="none"/>
      </font>
      <numFmt numFmtId="0" formatCode="General"/>
      <fill>
        <patternFill patternType="solid">
          <fgColor indexed="64"/>
          <bgColor rgb="FFF9F8F6"/>
        </patternFill>
      </fill>
      <alignment horizontal="general" vertical="center" textRotation="0" wrapText="1"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E7E3DC"/>
        </patternFill>
      </fill>
      <alignment horizontal="general"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sz val="8"/>
        <name val="Arial"/>
        <family val="2"/>
        <scheme val="none"/>
      </font>
      <numFmt numFmtId="0" formatCode="General"/>
      <fill>
        <patternFill patternType="solid">
          <fgColor indexed="64"/>
          <bgColor rgb="FFF9F8F6"/>
        </patternFill>
      </fill>
      <alignment horizontal="general" vertical="center" textRotation="0" wrapText="1"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sz val="8"/>
        <color rgb="FFFFFFFF"/>
        <name val="Arial"/>
        <family val="2"/>
        <scheme val="none"/>
      </font>
      <numFmt numFmtId="0" formatCode="General"/>
      <fill>
        <patternFill patternType="solid">
          <fgColor indexed="64"/>
          <bgColor rgb="FF948671"/>
        </patternFill>
      </fill>
      <alignment horizontal="general" vertical="center" textRotation="0" wrapText="1"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border outline="0">
        <bottom style="medium">
          <color rgb="FFFFFFFF"/>
        </bottom>
      </border>
    </dxf>
    <dxf>
      <font>
        <b/>
        <i val="0"/>
        <strike val="0"/>
        <condense val="0"/>
        <extend val="0"/>
        <outline val="0"/>
        <shadow val="0"/>
        <u val="none"/>
        <vertAlign val="baseline"/>
        <sz val="8"/>
        <color rgb="FF000000"/>
        <name val="Arial"/>
        <family val="2"/>
        <scheme val="none"/>
      </font>
      <fill>
        <patternFill patternType="solid">
          <fgColor indexed="64"/>
          <bgColor rgb="FFFFC222"/>
        </patternFill>
      </fill>
      <alignment horizontal="center" vertical="center" textRotation="0" wrapText="1" indent="0" justifyLastLine="0" shrinkToFit="0" readingOrder="0"/>
      <border diagonalUp="0" diagonalDown="0" outline="0">
        <left style="medium">
          <color rgb="FFFFFFFF"/>
        </left>
        <right style="medium">
          <color rgb="FFFFFFFF"/>
        </right>
        <top/>
        <bottom/>
      </border>
    </dxf>
    <dxf>
      <font>
        <sz val="8"/>
        <name val="Arial"/>
        <family val="2"/>
        <scheme val="none"/>
      </font>
      <numFmt numFmtId="1" formatCode="0"/>
      <fill>
        <patternFill patternType="solid">
          <fgColor indexed="64"/>
          <bgColor rgb="FFE7E3DC"/>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sz val="8"/>
        <name val="Arial"/>
        <family val="2"/>
        <scheme val="none"/>
      </font>
      <numFmt numFmtId="1" formatCode="0"/>
      <fill>
        <patternFill patternType="solid">
          <fgColor indexed="64"/>
          <bgColor rgb="FFF9F8F6"/>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sz val="8"/>
        <name val="Arial"/>
        <family val="2"/>
        <scheme val="none"/>
      </font>
      <numFmt numFmtId="1" formatCode="0"/>
      <fill>
        <patternFill patternType="solid">
          <fgColor indexed="64"/>
          <bgColor rgb="FFE7E3DC"/>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sz val="8"/>
        <name val="Arial"/>
        <family val="2"/>
        <scheme val="none"/>
      </font>
      <numFmt numFmtId="1" formatCode="0"/>
      <fill>
        <patternFill patternType="solid">
          <fgColor indexed="64"/>
          <bgColor rgb="FFF9F8F6"/>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E7E3DC"/>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F9F8F6"/>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E7E3DC"/>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F9F8F6"/>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E7E3DC"/>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F9F8F6"/>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E7E3DC"/>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F9F8F6"/>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E7E3DC"/>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F9F8F6"/>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sz val="8"/>
        <color rgb="FFFFFFFF"/>
        <name val="Arial"/>
        <family val="2"/>
        <scheme val="none"/>
      </font>
      <numFmt numFmtId="0" formatCode="General"/>
      <fill>
        <patternFill patternType="solid">
          <fgColor indexed="64"/>
          <bgColor rgb="FF948671"/>
        </patternFill>
      </fill>
      <alignment horizontal="left" vertical="center" textRotation="0" wrapText="1"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border outline="0">
        <bottom style="medium">
          <color rgb="FFFFFFFF"/>
        </bottom>
      </border>
    </dxf>
    <dxf>
      <font>
        <b/>
        <i val="0"/>
        <strike val="0"/>
        <condense val="0"/>
        <extend val="0"/>
        <outline val="0"/>
        <shadow val="0"/>
        <u val="none"/>
        <vertAlign val="baseline"/>
        <sz val="8"/>
        <color theme="1"/>
        <name val="Arial"/>
        <family val="2"/>
        <scheme val="none"/>
      </font>
      <fill>
        <patternFill patternType="solid">
          <fgColor indexed="64"/>
          <bgColor rgb="FFFFC222"/>
        </patternFill>
      </fill>
      <alignment horizontal="center" vertical="center" textRotation="0" wrapText="1" indent="0" justifyLastLine="0" shrinkToFit="0" readingOrder="0"/>
      <border diagonalUp="0" diagonalDown="0" outline="0">
        <left style="medium">
          <color rgb="FFFFFFFF"/>
        </left>
        <right style="medium">
          <color rgb="FFFFFFFF"/>
        </right>
        <top/>
        <bottom/>
      </border>
    </dxf>
    <dxf>
      <font>
        <sz val="8"/>
        <name val="Arial"/>
        <family val="2"/>
        <scheme val="none"/>
      </font>
      <numFmt numFmtId="1" formatCode="0"/>
      <fill>
        <patternFill patternType="solid">
          <fgColor indexed="64"/>
          <bgColor rgb="FFE7E3DC"/>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sz val="8"/>
        <name val="Arial"/>
        <family val="2"/>
        <scheme val="none"/>
      </font>
      <numFmt numFmtId="1" formatCode="0"/>
      <fill>
        <patternFill patternType="solid">
          <fgColor indexed="64"/>
          <bgColor rgb="FFF9F8F6"/>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sz val="8"/>
        <name val="Arial"/>
        <family val="2"/>
        <scheme val="none"/>
      </font>
      <numFmt numFmtId="1" formatCode="0"/>
      <fill>
        <patternFill patternType="solid">
          <fgColor indexed="64"/>
          <bgColor rgb="FFE7E3DC"/>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sz val="8"/>
        <name val="Arial"/>
        <family val="2"/>
        <scheme val="none"/>
      </font>
      <numFmt numFmtId="1" formatCode="0"/>
      <fill>
        <patternFill patternType="solid">
          <fgColor indexed="64"/>
          <bgColor rgb="FFF9F8F6"/>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E7E3DC"/>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F9F8F6"/>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E7E3DC"/>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F9F8F6"/>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E7E3DC"/>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F9F8F6"/>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E7E3DC"/>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F9F8F6"/>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E7E3DC"/>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F9F8F6"/>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sz val="8"/>
        <color rgb="FFFFFFFF"/>
        <name val="Arial"/>
        <family val="2"/>
        <scheme val="none"/>
      </font>
      <numFmt numFmtId="0" formatCode="General"/>
      <fill>
        <patternFill patternType="solid">
          <fgColor indexed="64"/>
          <bgColor rgb="FF948671"/>
        </patternFill>
      </fill>
      <alignment horizontal="left" vertical="center" textRotation="0" wrapText="1"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border outline="0">
        <bottom style="medium">
          <color rgb="FFFFFFFF"/>
        </bottom>
      </border>
    </dxf>
    <dxf>
      <font>
        <b/>
        <i val="0"/>
        <strike val="0"/>
        <condense val="0"/>
        <extend val="0"/>
        <outline val="0"/>
        <shadow val="0"/>
        <u val="none"/>
        <vertAlign val="baseline"/>
        <sz val="8"/>
        <color theme="1"/>
        <name val="Arial"/>
        <family val="2"/>
        <scheme val="none"/>
      </font>
      <fill>
        <patternFill patternType="solid">
          <fgColor indexed="64"/>
          <bgColor rgb="FFFFC222"/>
        </patternFill>
      </fill>
      <alignment horizontal="center" vertical="center" textRotation="0" wrapText="1" indent="0" justifyLastLine="0" shrinkToFit="0" readingOrder="0"/>
      <border diagonalUp="0" diagonalDown="0" outline="0">
        <left style="medium">
          <color rgb="FFFFFFFF"/>
        </left>
        <right style="medium">
          <color rgb="FFFFFFFF"/>
        </right>
        <top/>
        <bottom/>
      </border>
    </dxf>
    <dxf>
      <font>
        <sz val="8"/>
        <name val="Arial"/>
        <family val="2"/>
        <scheme val="none"/>
      </font>
      <numFmt numFmtId="1" formatCode="0"/>
      <fill>
        <patternFill patternType="solid">
          <fgColor indexed="64"/>
          <bgColor rgb="FFE7E3DC"/>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sz val="8"/>
        <name val="Arial"/>
        <family val="2"/>
        <scheme val="none"/>
      </font>
      <numFmt numFmtId="1" formatCode="0"/>
      <fill>
        <patternFill patternType="solid">
          <fgColor indexed="64"/>
          <bgColor rgb="FFF9F8F6"/>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sz val="8"/>
        <name val="Arial"/>
        <family val="2"/>
        <scheme val="none"/>
      </font>
      <numFmt numFmtId="1" formatCode="0"/>
      <fill>
        <patternFill patternType="solid">
          <fgColor indexed="64"/>
          <bgColor rgb="FFE7E3DC"/>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sz val="8"/>
        <name val="Arial"/>
        <family val="2"/>
        <scheme val="none"/>
      </font>
      <numFmt numFmtId="1" formatCode="0"/>
      <fill>
        <patternFill patternType="solid">
          <fgColor indexed="64"/>
          <bgColor rgb="FFF9F8F6"/>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E7E3DC"/>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F9F8F6"/>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E7E3DC"/>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F9F8F6"/>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E7E3DC"/>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F9F8F6"/>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E7E3DC"/>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F9F8F6"/>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E7E3DC"/>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F9F8F6"/>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sz val="8"/>
        <color rgb="FFFFFFFF"/>
        <name val="Arial"/>
        <family val="2"/>
        <scheme val="none"/>
      </font>
      <numFmt numFmtId="0" formatCode="General"/>
      <fill>
        <patternFill patternType="solid">
          <fgColor indexed="64"/>
          <bgColor rgb="FF948671"/>
        </patternFill>
      </fill>
      <alignment horizontal="left" vertical="center" textRotation="0" wrapText="1"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border outline="0">
        <bottom style="medium">
          <color rgb="FFFFFFFF"/>
        </bottom>
      </border>
    </dxf>
    <dxf>
      <font>
        <b/>
        <i val="0"/>
        <strike val="0"/>
        <condense val="0"/>
        <extend val="0"/>
        <outline val="0"/>
        <shadow val="0"/>
        <u val="none"/>
        <vertAlign val="baseline"/>
        <sz val="8"/>
        <color theme="1"/>
        <name val="Arial"/>
        <family val="2"/>
        <scheme val="none"/>
      </font>
      <fill>
        <patternFill patternType="solid">
          <fgColor indexed="64"/>
          <bgColor rgb="FFFFC222"/>
        </patternFill>
      </fill>
      <alignment horizontal="center" vertical="center" textRotation="0" wrapText="1" indent="0" justifyLastLine="0" shrinkToFit="0" readingOrder="0"/>
      <border diagonalUp="0" diagonalDown="0" outline="0">
        <left style="medium">
          <color rgb="FFFFFFFF"/>
        </left>
        <right style="medium">
          <color rgb="FFFFFFFF"/>
        </right>
        <top/>
        <bottom/>
      </border>
    </dxf>
    <dxf>
      <font>
        <sz val="8"/>
        <name val="Arial"/>
        <family val="2"/>
        <scheme val="none"/>
      </font>
      <numFmt numFmtId="1" formatCode="0"/>
      <fill>
        <patternFill patternType="solid">
          <fgColor indexed="64"/>
          <bgColor rgb="FFE7E3DC"/>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sz val="8"/>
        <name val="Arial"/>
        <family val="2"/>
        <scheme val="none"/>
      </font>
      <numFmt numFmtId="1" formatCode="0"/>
      <fill>
        <patternFill patternType="solid">
          <fgColor indexed="64"/>
          <bgColor rgb="FFF9F8F6"/>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sz val="8"/>
        <name val="Arial"/>
        <family val="2"/>
        <scheme val="none"/>
      </font>
      <numFmt numFmtId="1" formatCode="0"/>
      <fill>
        <patternFill patternType="solid">
          <fgColor indexed="64"/>
          <bgColor rgb="FFE7E3DC"/>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sz val="8"/>
        <name val="Arial"/>
        <family val="2"/>
        <scheme val="none"/>
      </font>
      <numFmt numFmtId="1" formatCode="0"/>
      <fill>
        <patternFill patternType="solid">
          <fgColor indexed="64"/>
          <bgColor rgb="FFF9F8F6"/>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E7E3DC"/>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F9F8F6"/>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E7E3DC"/>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F9F8F6"/>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E7E3DC"/>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F9F8F6"/>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E7E3DC"/>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F9F8F6"/>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E7E3DC"/>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F9F8F6"/>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sz val="8"/>
        <color rgb="FFFFFFFF"/>
        <name val="Arial"/>
        <family val="2"/>
        <scheme val="none"/>
      </font>
      <numFmt numFmtId="0" formatCode="General"/>
      <fill>
        <patternFill patternType="solid">
          <fgColor indexed="64"/>
          <bgColor rgb="FF948671"/>
        </patternFill>
      </fill>
      <alignment horizontal="left" vertical="center" textRotation="0" wrapText="1"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border outline="0">
        <bottom style="medium">
          <color rgb="FFFFFFFF"/>
        </bottom>
      </border>
    </dxf>
    <dxf>
      <font>
        <b/>
        <i val="0"/>
        <strike val="0"/>
        <condense val="0"/>
        <extend val="0"/>
        <outline val="0"/>
        <shadow val="0"/>
        <u val="none"/>
        <vertAlign val="baseline"/>
        <sz val="8"/>
        <color theme="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medium">
          <color rgb="FFFFFFFF"/>
        </left>
        <right style="medium">
          <color rgb="FFFFFFFF"/>
        </right>
        <top/>
        <bottom/>
      </border>
    </dxf>
    <dxf>
      <font>
        <sz val="8"/>
        <name val="Arial"/>
        <family val="2"/>
        <scheme val="none"/>
      </font>
      <numFmt numFmtId="1" formatCode="0"/>
      <fill>
        <patternFill patternType="solid">
          <fgColor indexed="64"/>
          <bgColor rgb="FFE7E3DC"/>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sz val="8"/>
        <name val="Arial"/>
        <family val="2"/>
        <scheme val="none"/>
      </font>
      <numFmt numFmtId="1" formatCode="0"/>
      <fill>
        <patternFill patternType="solid">
          <fgColor indexed="64"/>
          <bgColor rgb="FFF9F8F6"/>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sz val="8"/>
        <name val="Arial"/>
        <family val="2"/>
        <scheme val="none"/>
      </font>
      <numFmt numFmtId="1" formatCode="0"/>
      <fill>
        <patternFill patternType="solid">
          <fgColor indexed="64"/>
          <bgColor rgb="FFE7E3DC"/>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sz val="8"/>
        <name val="Arial"/>
        <family val="2"/>
        <scheme val="none"/>
      </font>
      <numFmt numFmtId="1" formatCode="0"/>
      <fill>
        <patternFill patternType="solid">
          <fgColor indexed="64"/>
          <bgColor rgb="FFF9F8F6"/>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E7E3DC"/>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F9F8F6"/>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E7E3DC"/>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F9F8F6"/>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E7E3DC"/>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F9F8F6"/>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E7E3DC"/>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F9F8F6"/>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E7E3DC"/>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F9F8F6"/>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sz val="8"/>
        <color rgb="FFFFFFFF"/>
        <name val="Arial"/>
        <family val="2"/>
        <scheme val="none"/>
      </font>
      <numFmt numFmtId="0" formatCode="General"/>
      <fill>
        <patternFill patternType="solid">
          <fgColor indexed="64"/>
          <bgColor rgb="FF948671"/>
        </patternFill>
      </fill>
      <alignment horizontal="left" vertical="center" textRotation="0" wrapText="1"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border outline="0">
        <bottom style="medium">
          <color rgb="FFFFFFFF"/>
        </bottom>
      </border>
    </dxf>
    <dxf>
      <font>
        <b/>
        <i val="0"/>
        <strike val="0"/>
        <condense val="0"/>
        <extend val="0"/>
        <outline val="0"/>
        <shadow val="0"/>
        <u val="none"/>
        <vertAlign val="baseline"/>
        <sz val="8"/>
        <color theme="1"/>
        <name val="Arial"/>
        <family val="2"/>
        <scheme val="none"/>
      </font>
      <fill>
        <patternFill patternType="solid">
          <fgColor indexed="64"/>
          <bgColor rgb="FFFFC222"/>
        </patternFill>
      </fill>
      <alignment horizontal="center" vertical="center" textRotation="0" wrapText="1" indent="0" justifyLastLine="0" shrinkToFit="0" readingOrder="0"/>
      <border diagonalUp="0" diagonalDown="0" outline="0">
        <left style="medium">
          <color rgb="FFFFFFFF"/>
        </left>
        <right style="medium">
          <color rgb="FFFFFFFF"/>
        </right>
        <top/>
        <bottom/>
      </border>
    </dxf>
    <dxf>
      <font>
        <sz val="8"/>
        <name val="Arial"/>
        <family val="2"/>
        <scheme val="none"/>
      </font>
      <numFmt numFmtId="1" formatCode="0"/>
      <fill>
        <patternFill patternType="solid">
          <fgColor indexed="64"/>
          <bgColor rgb="FFE7E3DC"/>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sz val="8"/>
        <name val="Arial"/>
        <family val="2"/>
        <scheme val="none"/>
      </font>
      <numFmt numFmtId="1" formatCode="0"/>
      <fill>
        <patternFill patternType="solid">
          <fgColor indexed="64"/>
          <bgColor rgb="FFF9F8F6"/>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sz val="8"/>
        <name val="Arial"/>
        <family val="2"/>
        <scheme val="none"/>
      </font>
      <numFmt numFmtId="1" formatCode="0"/>
      <fill>
        <patternFill patternType="solid">
          <fgColor indexed="64"/>
          <bgColor rgb="FFE7E3DC"/>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sz val="8"/>
        <name val="Arial"/>
        <family val="2"/>
        <scheme val="none"/>
      </font>
      <numFmt numFmtId="1" formatCode="0"/>
      <fill>
        <patternFill patternType="solid">
          <fgColor indexed="64"/>
          <bgColor rgb="FFF9F8F6"/>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E7E3DC"/>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F9F8F6"/>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E7E3DC"/>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F9F8F6"/>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E7E3DC"/>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F9F8F6"/>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E7E3DC"/>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F9F8F6"/>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E7E3DC"/>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165" formatCode="_-* #,##0.0_-;\-* #,##0.0_-;_-* &quot;-&quot;??_-;_-@_-"/>
      <fill>
        <patternFill patternType="solid">
          <fgColor indexed="64"/>
          <bgColor rgb="FFF9F8F6"/>
        </patternFill>
      </fill>
      <alignment horizontal="center" vertical="center" textRotation="0" wrapText="0"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sz val="8"/>
        <color rgb="FFFFFFFF"/>
        <name val="Arial"/>
        <family val="2"/>
        <scheme val="none"/>
      </font>
      <numFmt numFmtId="0" formatCode="General"/>
      <fill>
        <patternFill patternType="solid">
          <fgColor indexed="64"/>
          <bgColor rgb="FF948671"/>
        </patternFill>
      </fill>
      <alignment horizontal="left" vertical="center" textRotation="0" wrapText="1"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border outline="0">
        <bottom style="medium">
          <color rgb="FFFFFFFF"/>
        </bottom>
      </border>
    </dxf>
    <dxf>
      <font>
        <b/>
        <i val="0"/>
        <strike val="0"/>
        <condense val="0"/>
        <extend val="0"/>
        <outline val="0"/>
        <shadow val="0"/>
        <u val="none"/>
        <vertAlign val="baseline"/>
        <sz val="8"/>
        <color theme="1"/>
        <name val="Arial"/>
        <family val="2"/>
        <scheme val="none"/>
      </font>
      <fill>
        <patternFill patternType="solid">
          <fgColor indexed="64"/>
          <bgColor rgb="FFFFC222"/>
        </patternFill>
      </fill>
      <alignment horizontal="center" vertical="center" textRotation="0" wrapText="1" indent="0" justifyLastLine="0" shrinkToFit="0" readingOrder="0"/>
      <border diagonalUp="0" diagonalDown="0" outline="0">
        <left style="medium">
          <color rgb="FFFFFFFF"/>
        </left>
        <right style="medium">
          <color rgb="FFFFFFFF"/>
        </right>
        <top/>
        <bottom/>
      </border>
    </dxf>
    <dxf>
      <font>
        <sz val="8"/>
        <name val="Arial"/>
        <family val="2"/>
        <scheme val="none"/>
      </font>
      <numFmt numFmtId="0" formatCode="General"/>
      <fill>
        <patternFill patternType="solid">
          <fgColor indexed="64"/>
          <bgColor rgb="FFE7E3DC"/>
        </patternFill>
      </fill>
      <alignment horizontal="center" vertical="center" textRotation="0" wrapText="1"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sz val="8"/>
        <name val="Arial"/>
        <family val="2"/>
        <scheme val="none"/>
      </font>
      <numFmt numFmtId="0" formatCode="General"/>
      <fill>
        <patternFill patternType="solid">
          <fgColor indexed="64"/>
          <bgColor rgb="FFF9F8F6"/>
        </patternFill>
      </fill>
      <alignment horizontal="center" vertical="center" textRotation="0" wrapText="1"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sz val="8"/>
        <name val="Arial"/>
        <family val="2"/>
        <scheme val="none"/>
      </font>
      <numFmt numFmtId="0" formatCode="General"/>
      <fill>
        <patternFill patternType="solid">
          <fgColor indexed="64"/>
          <bgColor rgb="FFE7E3DC"/>
        </patternFill>
      </fill>
      <alignment horizontal="center" vertical="center" textRotation="0" wrapText="1"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sz val="8"/>
        <name val="Arial"/>
        <family val="2"/>
        <scheme val="none"/>
      </font>
      <numFmt numFmtId="0" formatCode="General"/>
      <fill>
        <patternFill patternType="solid">
          <fgColor indexed="64"/>
          <bgColor rgb="FFF9F8F6"/>
        </patternFill>
      </fill>
      <alignment horizontal="general" vertical="center" textRotation="0" wrapText="1"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sz val="8"/>
        <name val="Arial"/>
        <family val="2"/>
        <scheme val="none"/>
      </font>
      <numFmt numFmtId="0" formatCode="General"/>
      <fill>
        <patternFill patternType="solid">
          <fgColor indexed="64"/>
          <bgColor rgb="FFE7E3DC"/>
        </patternFill>
      </fill>
      <alignment horizontal="general" vertical="center" textRotation="0" wrapText="1"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sz val="8"/>
        <name val="Arial"/>
        <family val="2"/>
        <scheme val="none"/>
      </font>
      <numFmt numFmtId="0" formatCode="General"/>
      <fill>
        <patternFill patternType="solid">
          <fgColor indexed="64"/>
          <bgColor rgb="FFF9F8F6"/>
        </patternFill>
      </fill>
      <alignment horizontal="general" vertical="center" textRotation="0" wrapText="1"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sz val="8"/>
        <name val="Arial"/>
        <family val="2"/>
        <scheme val="none"/>
      </font>
      <numFmt numFmtId="0" formatCode="General"/>
      <fill>
        <patternFill patternType="solid">
          <fgColor indexed="64"/>
          <bgColor rgb="FFE7E3DC"/>
        </patternFill>
      </fill>
      <alignment horizontal="general" vertical="center" textRotation="0" wrapText="1"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8"/>
        <color rgb="FF000000"/>
        <name val="Arial"/>
        <family val="2"/>
        <scheme val="none"/>
      </font>
      <numFmt numFmtId="0" formatCode="General"/>
      <fill>
        <patternFill patternType="solid">
          <fgColor indexed="64"/>
          <bgColor rgb="FFE7E3DC"/>
        </patternFill>
      </fill>
      <alignment horizontal="general" vertical="center" textRotation="0" wrapText="1"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sz val="8"/>
        <name val="Arial"/>
        <family val="2"/>
        <scheme val="none"/>
      </font>
      <numFmt numFmtId="0" formatCode="General"/>
      <fill>
        <patternFill patternType="solid">
          <fgColor indexed="64"/>
          <bgColor rgb="FFE7E3DC"/>
        </patternFill>
      </fill>
      <alignment horizontal="general" vertical="center" textRotation="0" wrapText="1" indent="0" justifyLastLine="0" shrinkToFit="0" readingOrder="0"/>
      <border diagonalUp="0" diagonalDown="0">
        <left style="medium">
          <color rgb="FFFFFFFF"/>
        </left>
        <right style="medium">
          <color rgb="FFFFFFFF"/>
        </right>
        <top/>
        <bottom/>
        <vertical/>
        <horizontal/>
      </border>
    </dxf>
    <dxf>
      <font>
        <sz val="8"/>
        <name val="Arial"/>
        <family val="2"/>
        <scheme val="none"/>
      </font>
      <numFmt numFmtId="0" formatCode="General"/>
      <fill>
        <patternFill patternType="solid">
          <fgColor indexed="64"/>
          <bgColor rgb="FFF9F8F6"/>
        </patternFill>
      </fill>
      <alignment horizontal="general" vertical="center" textRotation="0" wrapText="1"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sz val="8"/>
        <color rgb="FFFFFFFF"/>
        <name val="Arial"/>
        <family val="2"/>
        <scheme val="none"/>
      </font>
      <numFmt numFmtId="0" formatCode="General"/>
      <fill>
        <patternFill patternType="solid">
          <fgColor indexed="64"/>
          <bgColor rgb="FF948671"/>
        </patternFill>
      </fill>
      <alignment horizontal="general" vertical="center" textRotation="0" wrapText="1"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border outline="0">
        <bottom style="medium">
          <color rgb="FFFFFFFF"/>
        </bottom>
      </border>
    </dxf>
    <dxf>
      <font>
        <b/>
        <i val="0"/>
        <strike val="0"/>
        <condense val="0"/>
        <extend val="0"/>
        <outline val="0"/>
        <shadow val="0"/>
        <u val="none"/>
        <vertAlign val="baseline"/>
        <sz val="8"/>
        <color rgb="FF000000"/>
        <name val="Arial"/>
        <family val="2"/>
        <scheme val="none"/>
      </font>
      <fill>
        <patternFill patternType="solid">
          <fgColor indexed="64"/>
          <bgColor rgb="FFFFC222"/>
        </patternFill>
      </fill>
      <alignment horizontal="center" vertical="center" textRotation="0" wrapText="1" indent="0" justifyLastLine="0" shrinkToFit="0" readingOrder="0"/>
      <border diagonalUp="0" diagonalDown="0" outline="0">
        <left style="medium">
          <color rgb="FFFFFFFF"/>
        </left>
        <right style="medium">
          <color rgb="FFFFFFFF"/>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1"/>
          <c:order val="0"/>
          <c:tx>
            <c:strRef>
              <c:f>'Queensland Summary'!$B$64</c:f>
              <c:strCache>
                <c:ptCount val="1"/>
                <c:pt idx="0">
                  <c:v>Existing less Announced Withdrawal</c:v>
                </c:pt>
              </c:strCache>
            </c:strRef>
          </c:tx>
          <c:spPr>
            <a:solidFill>
              <a:schemeClr val="accent6">
                <a:lumMod val="75000"/>
              </a:schemeClr>
            </a:solidFill>
            <a:ln>
              <a:noFill/>
            </a:ln>
            <a:effectLst/>
          </c:spPr>
          <c:invertIfNegative val="0"/>
          <c:cat>
            <c:strRef>
              <c:f>'Queensland Summary'!$C$61:$L$61</c:f>
              <c:strCache>
                <c:ptCount val="10"/>
                <c:pt idx="0">
                  <c:v>Coal</c:v>
                </c:pt>
                <c:pt idx="1">
                  <c:v>CCGT</c:v>
                </c:pt>
                <c:pt idx="2">
                  <c:v>OCGT</c:v>
                </c:pt>
                <c:pt idx="3">
                  <c:v>Gas other</c:v>
                </c:pt>
                <c:pt idx="4">
                  <c:v>Solar*</c:v>
                </c:pt>
                <c:pt idx="5">
                  <c:v>Wind</c:v>
                </c:pt>
                <c:pt idx="6">
                  <c:v>Water</c:v>
                </c:pt>
                <c:pt idx="7">
                  <c:v>Biomass</c:v>
                </c:pt>
                <c:pt idx="8">
                  <c:v>Battery Storage</c:v>
                </c:pt>
                <c:pt idx="9">
                  <c:v>Other</c:v>
                </c:pt>
              </c:strCache>
            </c:strRef>
          </c:cat>
          <c:val>
            <c:numRef>
              <c:f>'Queensland Summary'!$C$64:$L$64</c:f>
              <c:numCache>
                <c:formatCode>_-* #,##0_-;\-* #,##0_-;_-* "-"??_-;_-@_-</c:formatCode>
                <c:ptCount val="10"/>
                <c:pt idx="0">
                  <c:v>8186</c:v>
                </c:pt>
                <c:pt idx="1">
                  <c:v>1595.5</c:v>
                </c:pt>
                <c:pt idx="2">
                  <c:v>1860.5</c:v>
                </c:pt>
                <c:pt idx="3">
                  <c:v>208.37</c:v>
                </c:pt>
                <c:pt idx="4">
                  <c:v>658.92650000000003</c:v>
                </c:pt>
                <c:pt idx="5">
                  <c:v>12</c:v>
                </c:pt>
                <c:pt idx="6">
                  <c:v>738.19999999999993</c:v>
                </c:pt>
                <c:pt idx="7">
                  <c:v>419.19000000000005</c:v>
                </c:pt>
                <c:pt idx="8">
                  <c:v>0</c:v>
                </c:pt>
                <c:pt idx="9">
                  <c:v>1</c:v>
                </c:pt>
              </c:numCache>
            </c:numRef>
          </c:val>
          <c:extLst>
            <c:ext xmlns:c16="http://schemas.microsoft.com/office/drawing/2014/chart" uri="{C3380CC4-5D6E-409C-BE32-E72D297353CC}">
              <c16:uniqueId val="{00000001-A3D1-482D-B116-277E85E54BB3}"/>
            </c:ext>
          </c:extLst>
        </c:ser>
        <c:ser>
          <c:idx val="0"/>
          <c:order val="1"/>
          <c:tx>
            <c:strRef>
              <c:f>'Queensland Summary'!$B$63</c:f>
              <c:strCache>
                <c:ptCount val="1"/>
                <c:pt idx="0">
                  <c:v>Announced Withdrawal</c:v>
                </c:pt>
              </c:strCache>
            </c:strRef>
          </c:tx>
          <c:spPr>
            <a:solidFill>
              <a:srgbClr val="FFC000"/>
            </a:solidFill>
            <a:ln>
              <a:noFill/>
            </a:ln>
            <a:effectLst/>
          </c:spPr>
          <c:invertIfNegative val="0"/>
          <c:cat>
            <c:strRef>
              <c:f>'Queensland Summary'!$C$61:$L$61</c:f>
              <c:strCache>
                <c:ptCount val="10"/>
                <c:pt idx="0">
                  <c:v>Coal</c:v>
                </c:pt>
                <c:pt idx="1">
                  <c:v>CCGT</c:v>
                </c:pt>
                <c:pt idx="2">
                  <c:v>OCGT</c:v>
                </c:pt>
                <c:pt idx="3">
                  <c:v>Gas other</c:v>
                </c:pt>
                <c:pt idx="4">
                  <c:v>Solar*</c:v>
                </c:pt>
                <c:pt idx="5">
                  <c:v>Wind</c:v>
                </c:pt>
                <c:pt idx="6">
                  <c:v>Water</c:v>
                </c:pt>
                <c:pt idx="7">
                  <c:v>Biomass</c:v>
                </c:pt>
                <c:pt idx="8">
                  <c:v>Battery Storage</c:v>
                </c:pt>
                <c:pt idx="9">
                  <c:v>Other</c:v>
                </c:pt>
              </c:strCache>
            </c:strRef>
          </c:cat>
          <c:val>
            <c:numRef>
              <c:f>'Queensland Summary'!$C$63:$L$63</c:f>
              <c:numCache>
                <c:formatCode>_-* #,##0_-;\-* #,##0_-;_-* "-"??_-;_-@_-</c:formatCode>
                <c:ptCount val="10"/>
                <c:pt idx="0">
                  <c:v>0</c:v>
                </c:pt>
                <c:pt idx="1">
                  <c:v>0</c:v>
                </c:pt>
                <c:pt idx="2">
                  <c:v>34</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A3D1-482D-B116-277E85E54BB3}"/>
            </c:ext>
          </c:extLst>
        </c:ser>
        <c:ser>
          <c:idx val="2"/>
          <c:order val="2"/>
          <c:tx>
            <c:strRef>
              <c:f>'Queensland Summary'!$B$65</c:f>
              <c:strCache>
                <c:ptCount val="1"/>
                <c:pt idx="0">
                  <c:v>Committed</c:v>
                </c:pt>
              </c:strCache>
            </c:strRef>
          </c:tx>
          <c:spPr>
            <a:solidFill>
              <a:schemeClr val="tx2"/>
            </a:solidFill>
            <a:ln>
              <a:noFill/>
            </a:ln>
            <a:effectLst/>
          </c:spPr>
          <c:invertIfNegative val="0"/>
          <c:cat>
            <c:strRef>
              <c:f>'Queensland Summary'!$C$61:$L$61</c:f>
              <c:strCache>
                <c:ptCount val="10"/>
                <c:pt idx="0">
                  <c:v>Coal</c:v>
                </c:pt>
                <c:pt idx="1">
                  <c:v>CCGT</c:v>
                </c:pt>
                <c:pt idx="2">
                  <c:v>OCGT</c:v>
                </c:pt>
                <c:pt idx="3">
                  <c:v>Gas other</c:v>
                </c:pt>
                <c:pt idx="4">
                  <c:v>Solar*</c:v>
                </c:pt>
                <c:pt idx="5">
                  <c:v>Wind</c:v>
                </c:pt>
                <c:pt idx="6">
                  <c:v>Water</c:v>
                </c:pt>
                <c:pt idx="7">
                  <c:v>Biomass</c:v>
                </c:pt>
                <c:pt idx="8">
                  <c:v>Battery Storage</c:v>
                </c:pt>
                <c:pt idx="9">
                  <c:v>Other</c:v>
                </c:pt>
              </c:strCache>
            </c:strRef>
          </c:cat>
          <c:val>
            <c:numRef>
              <c:f>'Queensland Summary'!$C$65:$L$65</c:f>
              <c:numCache>
                <c:formatCode>_-* #,##0_-;\-* #,##0_-;_-* "-"??_-;_-@_-</c:formatCode>
                <c:ptCount val="10"/>
                <c:pt idx="0">
                  <c:v>0</c:v>
                </c:pt>
                <c:pt idx="1">
                  <c:v>0</c:v>
                </c:pt>
                <c:pt idx="2">
                  <c:v>0</c:v>
                </c:pt>
                <c:pt idx="3">
                  <c:v>0</c:v>
                </c:pt>
                <c:pt idx="4">
                  <c:v>1128</c:v>
                </c:pt>
                <c:pt idx="5">
                  <c:v>573.70000000000005</c:v>
                </c:pt>
                <c:pt idx="6">
                  <c:v>0</c:v>
                </c:pt>
                <c:pt idx="7">
                  <c:v>24</c:v>
                </c:pt>
                <c:pt idx="8">
                  <c:v>2</c:v>
                </c:pt>
                <c:pt idx="9">
                  <c:v>0</c:v>
                </c:pt>
              </c:numCache>
            </c:numRef>
          </c:val>
          <c:extLst>
            <c:ext xmlns:c16="http://schemas.microsoft.com/office/drawing/2014/chart" uri="{C3380CC4-5D6E-409C-BE32-E72D297353CC}">
              <c16:uniqueId val="{00000002-A3D1-482D-B116-277E85E54BB3}"/>
            </c:ext>
          </c:extLst>
        </c:ser>
        <c:ser>
          <c:idx val="3"/>
          <c:order val="3"/>
          <c:tx>
            <c:strRef>
              <c:f>'Queensland Summary'!$B$66</c:f>
              <c:strCache>
                <c:ptCount val="1"/>
                <c:pt idx="0">
                  <c:v>Proposed</c:v>
                </c:pt>
              </c:strCache>
            </c:strRef>
          </c:tx>
          <c:spPr>
            <a:solidFill>
              <a:schemeClr val="accent1">
                <a:lumMod val="40000"/>
                <a:lumOff val="60000"/>
              </a:schemeClr>
            </a:solidFill>
            <a:ln>
              <a:noFill/>
            </a:ln>
            <a:effectLst/>
          </c:spPr>
          <c:invertIfNegative val="0"/>
          <c:cat>
            <c:strRef>
              <c:f>'Queensland Summary'!$C$61:$L$61</c:f>
              <c:strCache>
                <c:ptCount val="10"/>
                <c:pt idx="0">
                  <c:v>Coal</c:v>
                </c:pt>
                <c:pt idx="1">
                  <c:v>CCGT</c:v>
                </c:pt>
                <c:pt idx="2">
                  <c:v>OCGT</c:v>
                </c:pt>
                <c:pt idx="3">
                  <c:v>Gas other</c:v>
                </c:pt>
                <c:pt idx="4">
                  <c:v>Solar*</c:v>
                </c:pt>
                <c:pt idx="5">
                  <c:v>Wind</c:v>
                </c:pt>
                <c:pt idx="6">
                  <c:v>Water</c:v>
                </c:pt>
                <c:pt idx="7">
                  <c:v>Biomass</c:v>
                </c:pt>
                <c:pt idx="8">
                  <c:v>Battery Storage</c:v>
                </c:pt>
                <c:pt idx="9">
                  <c:v>Other</c:v>
                </c:pt>
              </c:strCache>
            </c:strRef>
          </c:cat>
          <c:val>
            <c:numRef>
              <c:f>'Queensland Summary'!$C$66:$L$66</c:f>
              <c:numCache>
                <c:formatCode>_-* #,##0_-;\-* #,##0_-;_-* "-"??_-;_-@_-</c:formatCode>
                <c:ptCount val="10"/>
                <c:pt idx="0">
                  <c:v>0</c:v>
                </c:pt>
                <c:pt idx="1">
                  <c:v>0</c:v>
                </c:pt>
                <c:pt idx="2">
                  <c:v>1000</c:v>
                </c:pt>
                <c:pt idx="3">
                  <c:v>15.205</c:v>
                </c:pt>
                <c:pt idx="4">
                  <c:v>10670.226720000001</c:v>
                </c:pt>
                <c:pt idx="5">
                  <c:v>1188.4000000000001</c:v>
                </c:pt>
                <c:pt idx="6">
                  <c:v>250</c:v>
                </c:pt>
                <c:pt idx="7">
                  <c:v>189.6</c:v>
                </c:pt>
                <c:pt idx="8">
                  <c:v>1120</c:v>
                </c:pt>
                <c:pt idx="9">
                  <c:v>0</c:v>
                </c:pt>
              </c:numCache>
            </c:numRef>
          </c:val>
          <c:extLst>
            <c:ext xmlns:c16="http://schemas.microsoft.com/office/drawing/2014/chart" uri="{C3380CC4-5D6E-409C-BE32-E72D297353CC}">
              <c16:uniqueId val="{00000003-A3D1-482D-B116-277E85E54BB3}"/>
            </c:ext>
          </c:extLst>
        </c:ser>
        <c:ser>
          <c:idx val="4"/>
          <c:order val="4"/>
          <c:tx>
            <c:strRef>
              <c:f>'Queensland Summary'!$B$67</c:f>
              <c:strCache>
                <c:ptCount val="1"/>
                <c:pt idx="0">
                  <c:v>Withdrawn</c:v>
                </c:pt>
              </c:strCache>
            </c:strRef>
          </c:tx>
          <c:spPr>
            <a:solidFill>
              <a:schemeClr val="accent2"/>
            </a:solidFill>
            <a:ln>
              <a:noFill/>
            </a:ln>
            <a:effectLst/>
          </c:spPr>
          <c:invertIfNegative val="0"/>
          <c:cat>
            <c:strRef>
              <c:f>'Queensland Summary'!$C$61:$L$61</c:f>
              <c:strCache>
                <c:ptCount val="10"/>
                <c:pt idx="0">
                  <c:v>Coal</c:v>
                </c:pt>
                <c:pt idx="1">
                  <c:v>CCGT</c:v>
                </c:pt>
                <c:pt idx="2">
                  <c:v>OCGT</c:v>
                </c:pt>
                <c:pt idx="3">
                  <c:v>Gas other</c:v>
                </c:pt>
                <c:pt idx="4">
                  <c:v>Solar*</c:v>
                </c:pt>
                <c:pt idx="5">
                  <c:v>Wind</c:v>
                </c:pt>
                <c:pt idx="6">
                  <c:v>Water</c:v>
                </c:pt>
                <c:pt idx="7">
                  <c:v>Biomass</c:v>
                </c:pt>
                <c:pt idx="8">
                  <c:v>Battery Storage</c:v>
                </c:pt>
                <c:pt idx="9">
                  <c:v>Other</c:v>
                </c:pt>
              </c:strCache>
            </c:strRef>
          </c:cat>
          <c:val>
            <c:numRef>
              <c:f>'Queensland Summary'!$C$67:$L$67</c:f>
              <c:numCache>
                <c:formatCode>_-* #,##0_-;\-* #,##0_-;_-*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4-A3D1-482D-B116-277E85E54BB3}"/>
            </c:ext>
          </c:extLst>
        </c:ser>
        <c:dLbls>
          <c:showLegendKey val="0"/>
          <c:showVal val="0"/>
          <c:showCatName val="0"/>
          <c:showSerName val="0"/>
          <c:showPercent val="0"/>
          <c:showBubbleSize val="0"/>
        </c:dLbls>
        <c:gapWidth val="150"/>
        <c:overlap val="100"/>
        <c:axId val="1023113008"/>
        <c:axId val="1023113336"/>
      </c:barChart>
      <c:catAx>
        <c:axId val="1023113008"/>
        <c:scaling>
          <c:orientation val="minMax"/>
        </c:scaling>
        <c:delete val="0"/>
        <c:axPos val="b"/>
        <c:minorGridlines>
          <c:spPr>
            <a:ln w="9525" cap="flat" cmpd="sng" algn="ctr">
              <a:solidFill>
                <a:schemeClr val="bg1"/>
              </a:solidFill>
              <a:round/>
            </a:ln>
            <a:effectLst/>
          </c:spPr>
        </c:min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23113336"/>
        <c:crosses val="autoZero"/>
        <c:auto val="1"/>
        <c:lblAlgn val="ctr"/>
        <c:lblOffset val="100"/>
        <c:noMultiLvlLbl val="0"/>
      </c:catAx>
      <c:valAx>
        <c:axId val="1023113336"/>
        <c:scaling>
          <c:orientation val="minMax"/>
        </c:scaling>
        <c:delete val="0"/>
        <c:axPos val="l"/>
        <c:minorGridlines>
          <c:spPr>
            <a:ln w="9525" cap="flat" cmpd="sng" algn="ctr">
              <a:solidFill>
                <a:schemeClr val="bg1"/>
              </a:solidFill>
              <a:round/>
            </a:ln>
            <a:effectLst/>
          </c:spPr>
        </c:minorGridlines>
        <c:title>
          <c:tx>
            <c:rich>
              <a:bodyPr rot="-54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Generation</a:t>
                </a:r>
                <a:r>
                  <a:rPr lang="en-AU" baseline="0"/>
                  <a:t> capacity (MW)</a:t>
                </a:r>
                <a:endParaRPr lang="en-AU"/>
              </a:p>
            </c:rich>
          </c:tx>
          <c:overlay val="0"/>
          <c:spPr>
            <a:noFill/>
            <a:ln>
              <a:noFill/>
            </a:ln>
            <a:effectLst/>
          </c:spPr>
          <c:txPr>
            <a:bodyPr rot="-54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23113008"/>
        <c:crosses val="autoZero"/>
        <c:crossBetween val="between"/>
      </c:valAx>
      <c:spPr>
        <a:solidFill>
          <a:schemeClr val="bg1">
            <a:lumMod val="95000"/>
          </a:schemeClr>
        </a:solidFill>
        <a:ln>
          <a:noFill/>
        </a:ln>
        <a:effectLst/>
      </c:spPr>
    </c:plotArea>
    <c:legend>
      <c:legendPos val="r"/>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280986</xdr:colOff>
      <xdr:row>38</xdr:row>
      <xdr:rowOff>157161</xdr:rowOff>
    </xdr:from>
    <xdr:to>
      <xdr:col>12</xdr:col>
      <xdr:colOff>571499</xdr:colOff>
      <xdr:row>59</xdr:row>
      <xdr:rowOff>28574</xdr:rowOff>
    </xdr:to>
    <xdr:graphicFrame macro="">
      <xdr:nvGraphicFramePr>
        <xdr:cNvPr id="3" name="Chart 2">
          <a:extLst>
            <a:ext uri="{FF2B5EF4-FFF2-40B4-BE49-F238E27FC236}">
              <a16:creationId xmlns:a16="http://schemas.microsoft.com/office/drawing/2014/main" id="{F1CC7371-0D3A-4FD3-8A85-2971C5B52A8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existingstable" displayName="existingstable" ref="A2:K30" totalsRowShown="0" headerRowDxfId="143" headerRowBorderDxfId="142">
  <tableColumns count="11">
    <tableColumn id="1" xr3:uid="{00000000-0010-0000-0000-000001000000}" name="Power Station" dataDxfId="141"/>
    <tableColumn id="2" xr3:uid="{00000000-0010-0000-0000-000002000000}" name="Owner" dataDxfId="140"/>
    <tableColumn id="3" xr3:uid="{FA6E0990-7635-4511-A83F-62B9B1064EF0}" name="Unit Number and Nameplate Capacity (MW)" dataDxfId="139"/>
    <tableColumn id="4" xr3:uid="{4A75EEE3-966F-4377-BEB6-F95CE4A6BD37}" name="Nameplate Capacity (MW)" dataDxfId="138"/>
    <tableColumn id="5" xr3:uid="{00000000-0010-0000-0000-000005000000}" name="Technology Type" dataDxfId="137"/>
    <tableColumn id="6" xr3:uid="{00000000-0010-0000-0000-000006000000}" name="Fuel Type" dataDxfId="136"/>
    <tableColumn id="7" xr3:uid="{00000000-0010-0000-0000-000007000000}" name="Dispatch Type" dataDxfId="135"/>
    <tableColumn id="8" xr3:uid="{00000000-0010-0000-0000-000008000000}" name="Service Status" dataDxfId="134"/>
    <tableColumn id="9" xr3:uid="{00000000-0010-0000-0000-000009000000}" name="Region" dataDxfId="133"/>
    <tableColumn id="10" xr3:uid="{00000000-0010-0000-0000-00000A000000}" name="summary_status" dataDxfId="132"/>
    <tableColumn id="11" xr3:uid="{00000000-0010-0000-0000-00000B000000}" name="summary_bucket" dataDxfId="131"/>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sumcapsalltable" displayName="sumcapsalltable" ref="A2:O50" totalsRowShown="0" headerRowDxfId="130" headerRowBorderDxfId="129">
  <autoFilter ref="A2:O50" xr:uid="{02FCD9D0-A1CC-4B93-961D-FFD96ED43107}"/>
  <tableColumns count="15">
    <tableColumn id="1" xr3:uid="{00000000-0010-0000-0100-000001000000}" name="PowerStation" dataDxfId="128"/>
    <tableColumn id="2" xr3:uid="{00000000-0010-0000-0100-000002000000}" name="201819" dataDxfId="127" dataCellStyle="Comma"/>
    <tableColumn id="3" xr3:uid="{00000000-0010-0000-0100-000003000000}" name="201920" dataDxfId="126" dataCellStyle="Comma"/>
    <tableColumn id="4" xr3:uid="{00000000-0010-0000-0100-000004000000}" name="202021" dataDxfId="125" dataCellStyle="Comma"/>
    <tableColumn id="5" xr3:uid="{00000000-0010-0000-0100-000005000000}" name="202122" dataDxfId="124" dataCellStyle="Comma"/>
    <tableColumn id="6" xr3:uid="{00000000-0010-0000-0100-000006000000}" name="202223" dataDxfId="123" dataCellStyle="Comma"/>
    <tableColumn id="7" xr3:uid="{00000000-0010-0000-0100-000007000000}" name="202324" dataDxfId="122" dataCellStyle="Comma"/>
    <tableColumn id="8" xr3:uid="{00000000-0010-0000-0100-000008000000}" name="202425" dataDxfId="121" dataCellStyle="Comma"/>
    <tableColumn id="9" xr3:uid="{00000000-0010-0000-0100-000009000000}" name="202526" dataDxfId="120" dataCellStyle="Comma"/>
    <tableColumn id="10" xr3:uid="{00000000-0010-0000-0100-00000A000000}" name="202627" dataDxfId="119" dataCellStyle="Comma"/>
    <tableColumn id="11" xr3:uid="{00000000-0010-0000-0100-00000B000000}" name="202728" dataDxfId="118" dataCellStyle="Comma"/>
    <tableColumn id="12" xr3:uid="{00000000-0010-0000-0100-00000C000000}" name="DispatchType" dataDxfId="117"/>
    <tableColumn id="13" xr3:uid="{00000000-0010-0000-0100-00000D000000}" name="FuelType" dataDxfId="116"/>
    <tableColumn id="14" xr3:uid="{00000000-0010-0000-0100-00000E000000}" name="Region" dataDxfId="115"/>
    <tableColumn id="15" xr3:uid="{00000000-0010-0000-0100-00000F000000}" name="Season" dataDxfId="114"/>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sumcapsstable" displayName="sumcapsstable" ref="A60:O82" totalsRowShown="0" headerRowDxfId="113" headerRowBorderDxfId="112">
  <autoFilter ref="A60:O82" xr:uid="{9F9E9ADE-E191-4292-8E64-DC3F8799D262}"/>
  <tableColumns count="15">
    <tableColumn id="1" xr3:uid="{00000000-0010-0000-0200-000001000000}" name="PowerStation" dataDxfId="111"/>
    <tableColumn id="2" xr3:uid="{00000000-0010-0000-0200-000002000000}" name="201819" dataDxfId="110" dataCellStyle="Comma"/>
    <tableColumn id="3" xr3:uid="{00000000-0010-0000-0200-000003000000}" name="201920" dataDxfId="109" dataCellStyle="Comma"/>
    <tableColumn id="4" xr3:uid="{00000000-0010-0000-0200-000004000000}" name="202021" dataDxfId="108" dataCellStyle="Comma"/>
    <tableColumn id="5" xr3:uid="{00000000-0010-0000-0200-000005000000}" name="202122" dataDxfId="107" dataCellStyle="Comma"/>
    <tableColumn id="6" xr3:uid="{00000000-0010-0000-0200-000006000000}" name="202223" dataDxfId="106" dataCellStyle="Comma"/>
    <tableColumn id="7" xr3:uid="{00000000-0010-0000-0200-000007000000}" name="202324" dataDxfId="105" dataCellStyle="Comma"/>
    <tableColumn id="8" xr3:uid="{00000000-0010-0000-0200-000008000000}" name="202425" dataDxfId="104" dataCellStyle="Comma"/>
    <tableColumn id="9" xr3:uid="{00000000-0010-0000-0200-000009000000}" name="202526" dataDxfId="103" dataCellStyle="Comma"/>
    <tableColumn id="10" xr3:uid="{00000000-0010-0000-0200-00000A000000}" name="202627" dataDxfId="102" dataCellStyle="Comma"/>
    <tableColumn id="11" xr3:uid="{00000000-0010-0000-0200-00000B000000}" name="202728" dataDxfId="101" dataCellStyle="Comma"/>
    <tableColumn id="12" xr3:uid="{00000000-0010-0000-0200-00000C000000}" name="DispatchType" dataDxfId="100"/>
    <tableColumn id="13" xr3:uid="{00000000-0010-0000-0200-00000D000000}" name="FuelType" dataDxfId="99"/>
    <tableColumn id="14" xr3:uid="{00000000-0010-0000-0200-00000E000000}" name="Region" dataDxfId="98"/>
    <tableColumn id="15" xr3:uid="{00000000-0010-0000-0200-00000F000000}" name="Season" dataDxfId="97"/>
  </tableColumns>
  <tableStyleInfo name="TableStyleMedium7"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Query1" displayName="Query1" ref="A89:O115" totalsRowShown="0" headerRowDxfId="96" headerRowBorderDxfId="95">
  <autoFilter ref="A89:O115" xr:uid="{2C4BBB96-5B94-4B67-BF47-FC96259DC57D}"/>
  <tableColumns count="15">
    <tableColumn id="1" xr3:uid="{00000000-0010-0000-0300-000001000000}" name="PowerStation" dataDxfId="94"/>
    <tableColumn id="2" xr3:uid="{00000000-0010-0000-0300-000002000000}" name="201819" dataDxfId="93" dataCellStyle="Comma"/>
    <tableColumn id="3" xr3:uid="{00000000-0010-0000-0300-000003000000}" name="201920" dataDxfId="92" dataCellStyle="Comma"/>
    <tableColumn id="4" xr3:uid="{00000000-0010-0000-0300-000004000000}" name="202021" dataDxfId="91" dataCellStyle="Comma"/>
    <tableColumn id="5" xr3:uid="{00000000-0010-0000-0300-000005000000}" name="202122" dataDxfId="90" dataCellStyle="Comma"/>
    <tableColumn id="6" xr3:uid="{00000000-0010-0000-0300-000006000000}" name="202223" dataDxfId="89" dataCellStyle="Comma"/>
    <tableColumn id="7" xr3:uid="{00000000-0010-0000-0300-000007000000}" name="202324" dataDxfId="88" dataCellStyle="Comma"/>
    <tableColumn id="8" xr3:uid="{00000000-0010-0000-0300-000008000000}" name="202425" dataDxfId="87" dataCellStyle="Comma"/>
    <tableColumn id="9" xr3:uid="{00000000-0010-0000-0300-000009000000}" name="202526" dataDxfId="86" dataCellStyle="Comma"/>
    <tableColumn id="10" xr3:uid="{00000000-0010-0000-0300-00000A000000}" name="202627" dataDxfId="85" dataCellStyle="Comma"/>
    <tableColumn id="11" xr3:uid="{00000000-0010-0000-0300-00000B000000}" name="202728" dataDxfId="84" dataCellStyle="Comma"/>
    <tableColumn id="12" xr3:uid="{00000000-0010-0000-0300-00000C000000}" name="DispatchType" dataDxfId="83"/>
    <tableColumn id="13" xr3:uid="{00000000-0010-0000-0300-00000D000000}" name="FuelType" dataDxfId="82"/>
    <tableColumn id="14" xr3:uid="{00000000-0010-0000-0300-00000E000000}" name="Region" dataDxfId="81"/>
    <tableColumn id="15" xr3:uid="{00000000-0010-0000-0300-00000F000000}" name="Season" dataDxfId="80"/>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wiincapsalltable" displayName="wiincapsalltable" ref="A2:O50" totalsRowShown="0" headerRowDxfId="79" headerRowBorderDxfId="78">
  <autoFilter ref="A2:O50" xr:uid="{DA1A4FC5-F5DB-4D0A-A755-C090955A9BD3}"/>
  <tableColumns count="15">
    <tableColumn id="1" xr3:uid="{00000000-0010-0000-0400-000001000000}" name="PowerStation" dataDxfId="77"/>
    <tableColumn id="2" xr3:uid="{00000000-0010-0000-0400-000002000000}" name="2019" dataDxfId="76" dataCellStyle="Comma"/>
    <tableColumn id="3" xr3:uid="{00000000-0010-0000-0400-000003000000}" name="2020" dataDxfId="75" dataCellStyle="Comma"/>
    <tableColumn id="4" xr3:uid="{00000000-0010-0000-0400-000004000000}" name="2021" dataDxfId="74" dataCellStyle="Comma"/>
    <tableColumn id="5" xr3:uid="{00000000-0010-0000-0400-000005000000}" name="2022" dataDxfId="73" dataCellStyle="Comma"/>
    <tableColumn id="6" xr3:uid="{00000000-0010-0000-0400-000006000000}" name="2023" dataDxfId="72" dataCellStyle="Comma"/>
    <tableColumn id="7" xr3:uid="{00000000-0010-0000-0400-000007000000}" name="2024" dataDxfId="71" dataCellStyle="Comma"/>
    <tableColumn id="8" xr3:uid="{00000000-0010-0000-0400-000008000000}" name="2025" dataDxfId="70" dataCellStyle="Comma"/>
    <tableColumn id="9" xr3:uid="{00000000-0010-0000-0400-000009000000}" name="2026" dataDxfId="69" dataCellStyle="Comma"/>
    <tableColumn id="10" xr3:uid="{00000000-0010-0000-0400-00000A000000}" name="2027" dataDxfId="68" dataCellStyle="Comma"/>
    <tableColumn id="11" xr3:uid="{00000000-0010-0000-0400-00000B000000}" name="2028" dataDxfId="67" dataCellStyle="Comma"/>
    <tableColumn id="12" xr3:uid="{00000000-0010-0000-0400-00000C000000}" name="DispatchType" dataDxfId="66"/>
    <tableColumn id="13" xr3:uid="{00000000-0010-0000-0400-00000D000000}" name="FuelType" dataDxfId="65"/>
    <tableColumn id="14" xr3:uid="{00000000-0010-0000-0400-00000E000000}" name="Region" dataDxfId="64"/>
    <tableColumn id="15" xr3:uid="{00000000-0010-0000-0400-00000F000000}" name="Season" dataDxfId="63"/>
  </tableColumns>
  <tableStyleInfo name="TableStyleMedium7"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wincapsstable" displayName="wincapsstable" ref="A60:O82" totalsRowShown="0" headerRowDxfId="62" headerRowBorderDxfId="61">
  <autoFilter ref="A60:O82" xr:uid="{2E31878D-C228-4B6C-A414-EBBDC748982E}"/>
  <tableColumns count="15">
    <tableColumn id="1" xr3:uid="{00000000-0010-0000-0500-000001000000}" name="PowerStation" dataDxfId="60"/>
    <tableColumn id="2" xr3:uid="{00000000-0010-0000-0500-000002000000}" name="2019" dataDxfId="59" dataCellStyle="Comma"/>
    <tableColumn id="3" xr3:uid="{00000000-0010-0000-0500-000003000000}" name="2020" dataDxfId="58" dataCellStyle="Comma"/>
    <tableColumn id="4" xr3:uid="{00000000-0010-0000-0500-000004000000}" name="2021" dataDxfId="57" dataCellStyle="Comma"/>
    <tableColumn id="5" xr3:uid="{00000000-0010-0000-0500-000005000000}" name="2022" dataDxfId="56" dataCellStyle="Comma"/>
    <tableColumn id="6" xr3:uid="{00000000-0010-0000-0500-000006000000}" name="2023" dataDxfId="55" dataCellStyle="Comma"/>
    <tableColumn id="7" xr3:uid="{00000000-0010-0000-0500-000007000000}" name="2024" dataDxfId="54" dataCellStyle="Comma"/>
    <tableColumn id="8" xr3:uid="{00000000-0010-0000-0500-000008000000}" name="2025" dataDxfId="53" dataCellStyle="Comma"/>
    <tableColumn id="9" xr3:uid="{00000000-0010-0000-0500-000009000000}" name="2026" dataDxfId="52" dataCellStyle="Comma"/>
    <tableColumn id="10" xr3:uid="{00000000-0010-0000-0500-00000A000000}" name="2027" dataDxfId="51" dataCellStyle="Comma"/>
    <tableColumn id="11" xr3:uid="{00000000-0010-0000-0500-00000B000000}" name="2028" dataDxfId="50" dataCellStyle="Comma"/>
    <tableColumn id="12" xr3:uid="{00000000-0010-0000-0500-00000C000000}" name="DispatchType" dataDxfId="49"/>
    <tableColumn id="13" xr3:uid="{00000000-0010-0000-0500-00000D000000}" name="FuelType" dataDxfId="48"/>
    <tableColumn id="14" xr3:uid="{00000000-0010-0000-0500-00000E000000}" name="Region" dataDxfId="47"/>
    <tableColumn id="15" xr3:uid="{00000000-0010-0000-0500-00000F000000}" name="Season" dataDxfId="46"/>
  </tableColumns>
  <tableStyleInfo name="TableStyleMedium7"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Query2" displayName="Query2" ref="A89:O115" totalsRowShown="0" headerRowDxfId="45" headerRowBorderDxfId="44">
  <autoFilter ref="A89:O115" xr:uid="{B3A492ED-0653-4126-BDF4-E8DEF88BE3F9}"/>
  <tableColumns count="15">
    <tableColumn id="1" xr3:uid="{00000000-0010-0000-0600-000001000000}" name="PowerStation" dataDxfId="43"/>
    <tableColumn id="2" xr3:uid="{00000000-0010-0000-0600-000002000000}" name="2019" dataDxfId="42" dataCellStyle="Comma"/>
    <tableColumn id="3" xr3:uid="{00000000-0010-0000-0600-000003000000}" name="2020" dataDxfId="41" dataCellStyle="Comma"/>
    <tableColumn id="4" xr3:uid="{00000000-0010-0000-0600-000004000000}" name="2021" dataDxfId="40" dataCellStyle="Comma"/>
    <tableColumn id="5" xr3:uid="{00000000-0010-0000-0600-000005000000}" name="2022" dataDxfId="39" dataCellStyle="Comma"/>
    <tableColumn id="6" xr3:uid="{00000000-0010-0000-0600-000006000000}" name="2023" dataDxfId="38" dataCellStyle="Comma"/>
    <tableColumn id="7" xr3:uid="{00000000-0010-0000-0600-000007000000}" name="2024" dataDxfId="37" dataCellStyle="Comma"/>
    <tableColumn id="8" xr3:uid="{00000000-0010-0000-0600-000008000000}" name="2025" dataDxfId="36" dataCellStyle="Comma"/>
    <tableColumn id="9" xr3:uid="{00000000-0010-0000-0600-000009000000}" name="2026" dataDxfId="35" dataCellStyle="Comma"/>
    <tableColumn id="10" xr3:uid="{00000000-0010-0000-0600-00000A000000}" name="2027" dataDxfId="34" dataCellStyle="Comma"/>
    <tableColumn id="11" xr3:uid="{00000000-0010-0000-0600-00000B000000}" name="2028" dataDxfId="33" dataCellStyle="Comma"/>
    <tableColumn id="12" xr3:uid="{00000000-0010-0000-0600-00000C000000}" name="DispatchType" dataDxfId="32"/>
    <tableColumn id="13" xr3:uid="{00000000-0010-0000-0600-00000D000000}" name="FuelType" dataDxfId="31"/>
    <tableColumn id="14" xr3:uid="{00000000-0010-0000-0600-00000E000000}" name="Region" dataDxfId="30"/>
    <tableColumn id="15" xr3:uid="{00000000-0010-0000-0600-00000F000000}" name="Season" dataDxfId="29"/>
  </tableColumns>
  <tableStyleInfo name="TableStyleMedium7"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7000000}" name="existingnstable" displayName="existingnstable" ref="A2:I71" totalsRowShown="0" headerRowDxfId="28" headerRowBorderDxfId="27">
  <autoFilter ref="A2:I71" xr:uid="{F90505FB-82E9-4C45-932C-64E79EC8BD50}"/>
  <tableColumns count="9">
    <tableColumn id="1" xr3:uid="{00000000-0010-0000-0700-000001000000}" name="Power Station" dataDxfId="26"/>
    <tableColumn id="2" xr3:uid="{00000000-0010-0000-0700-000002000000}" name="Owner" dataDxfId="25"/>
    <tableColumn id="3" xr3:uid="{00000000-0010-0000-0700-000003000000}" name="Nameplate Capacity (MW)" dataDxfId="24" dataCellStyle="Comma"/>
    <tableColumn id="4" xr3:uid="{00000000-0010-0000-0700-000004000000}" name="Technology Type" dataDxfId="23"/>
    <tableColumn id="5" xr3:uid="{00000000-0010-0000-0700-000005000000}" name="Fuel Type" dataDxfId="22"/>
    <tableColumn id="6" xr3:uid="{1558B3FF-3340-4F60-8E72-195DD6BB0829}" name="Service Status" dataDxfId="21"/>
    <tableColumn id="7" xr3:uid="{00000000-0010-0000-0700-000007000000}" name="Region" dataDxfId="20"/>
    <tableColumn id="8" xr3:uid="{00000000-0010-0000-0700-000008000000}" name="summary_bucket" dataDxfId="19"/>
    <tableColumn id="9" xr3:uid="{00000000-0010-0000-0700-000009000000}" name="summary_status" dataDxfId="18"/>
  </tableColumns>
  <tableStyleInfo name="TableStyleMedium7"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8000000}" name="newdevtable" displayName="newdevtable" ref="A2:O95" totalsRowShown="0" headerRowDxfId="17" headerRowBorderDxfId="16" tableBorderDxfId="15">
  <tableColumns count="15">
    <tableColumn id="1" xr3:uid="{00000000-0010-0000-0800-000001000000}" name="Project" dataDxfId="14"/>
    <tableColumn id="2" xr3:uid="{00000000-0010-0000-0800-000002000000}" name="Owner" dataDxfId="13"/>
    <tableColumn id="3" xr3:uid="{00000000-0010-0000-0800-000003000000}" name="Unit ID" dataDxfId="12"/>
    <tableColumn id="4" xr3:uid="{00000000-0010-0000-0800-000004000000}" name="Technology Type" dataDxfId="11"/>
    <tableColumn id="5" xr3:uid="{00000000-0010-0000-0800-000005000000}" name="Fuel Type" dataDxfId="10"/>
    <tableColumn id="6" xr3:uid="{00000000-0010-0000-0800-000006000000}" name="Unit Status" dataDxfId="9"/>
    <tableColumn id="7" xr3:uid="{00000000-0010-0000-0800-000007000000}" name="Nameplate Capacity (MW)" dataDxfId="8"/>
    <tableColumn id="8" xr3:uid="{00000000-0010-0000-0800-000008000000}" name="Dispatch Type" dataDxfId="7"/>
    <tableColumn id="9" xr3:uid="{00000000-0010-0000-0800-000009000000}" name="Full Commercial Use Date" dataDxfId="6"/>
    <tableColumn id="15" xr3:uid="{00000000-0010-0000-0800-00000F000000}" name="Source" dataDxfId="5"/>
    <tableColumn id="10" xr3:uid="{00000000-0010-0000-0800-00000A000000}" name="summary_status" dataDxfId="4"/>
    <tableColumn id="11" xr3:uid="{00000000-0010-0000-0800-00000B000000}" name="nameplatecapacity_mw_max" dataDxfId="3"/>
    <tableColumn id="12" xr3:uid="{00000000-0010-0000-0800-00000C000000}" name="capacity_empty" dataDxfId="2"/>
    <tableColumn id="13" xr3:uid="{00000000-0010-0000-0800-00000D000000}" name="region" dataDxfId="1"/>
    <tableColumn id="14" xr3:uid="{00000000-0010-0000-0800-00000E000000}" name="summary_bucket" dataDxfId="0"/>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emo.com.au/Electricity/National-Electricity-Market-NEM/Planning-and-forecasting/Generation-information"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8.xml"/></Relationships>
</file>

<file path=xl/worksheets/_rels/sheet7.xml.rels><?xml version="1.0" encoding="UTF-8" standalone="yes"?>
<Relationships xmlns="http://schemas.openxmlformats.org/package/2006/relationships"><Relationship Id="rId1" Type="http://schemas.openxmlformats.org/officeDocument/2006/relationships/table" Target="../tables/table9.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1"/>
  <sheetViews>
    <sheetView showGridLines="0" tabSelected="1" workbookViewId="0"/>
  </sheetViews>
  <sheetFormatPr defaultRowHeight="15"/>
  <cols>
    <col min="1" max="1" width="4.7109375" customWidth="1"/>
    <col min="2" max="2" width="40.7109375" customWidth="1"/>
    <col min="11" max="11" width="9.140625" style="8"/>
  </cols>
  <sheetData>
    <row r="1" spans="1:13" ht="15.75" thickBot="1">
      <c r="A1" s="23" t="s">
        <v>20</v>
      </c>
    </row>
    <row r="2" spans="1:13" ht="16.5" thickTop="1" thickBot="1">
      <c r="B2" s="4" t="s">
        <v>224</v>
      </c>
      <c r="C2" s="3"/>
      <c r="D2" s="3"/>
      <c r="E2" s="3"/>
      <c r="F2" s="3"/>
      <c r="G2" s="3"/>
      <c r="H2" s="3"/>
      <c r="I2" s="3"/>
      <c r="J2" s="5"/>
      <c r="K2" s="9"/>
    </row>
    <row r="3" spans="1:13">
      <c r="B3" s="5" t="s">
        <v>225</v>
      </c>
      <c r="J3" s="5"/>
      <c r="K3" s="9"/>
    </row>
    <row r="4" spans="1:13">
      <c r="B4" s="24" t="s">
        <v>454</v>
      </c>
      <c r="C4" s="25"/>
      <c r="D4" s="25"/>
      <c r="E4" s="25"/>
      <c r="F4" s="25"/>
      <c r="G4" s="25"/>
      <c r="H4" s="25"/>
      <c r="I4" s="25"/>
      <c r="J4" s="5"/>
      <c r="K4" s="9"/>
    </row>
    <row r="5" spans="1:13" ht="15.75" thickBot="1">
      <c r="B5" s="140" t="s">
        <v>455</v>
      </c>
      <c r="C5" s="141"/>
      <c r="D5" s="141"/>
      <c r="E5" s="141"/>
      <c r="F5" s="141"/>
      <c r="G5" s="141"/>
      <c r="H5" s="141"/>
      <c r="I5" s="142"/>
      <c r="J5" s="5"/>
      <c r="K5" s="9"/>
    </row>
    <row r="6" spans="1:13" ht="15.75" thickTop="1">
      <c r="B6" s="3"/>
      <c r="C6" s="3"/>
      <c r="D6" s="3"/>
      <c r="E6" s="3"/>
      <c r="F6" s="3"/>
      <c r="G6" s="3"/>
      <c r="H6" s="3"/>
      <c r="I6" s="3"/>
    </row>
    <row r="7" spans="1:13">
      <c r="B7" s="26" t="s">
        <v>727</v>
      </c>
      <c r="C7" s="27"/>
      <c r="D7" s="27"/>
      <c r="E7" s="27"/>
      <c r="F7" s="27"/>
      <c r="G7" s="27"/>
      <c r="H7" s="27"/>
      <c r="I7" s="27"/>
      <c r="J7" s="28"/>
      <c r="K7" s="25"/>
      <c r="L7" s="25"/>
      <c r="M7" s="25"/>
    </row>
    <row r="8" spans="1:13" s="12" customFormat="1" ht="12.75" customHeight="1" thickBot="1">
      <c r="B8" s="28"/>
      <c r="C8" s="28"/>
      <c r="D8" s="28"/>
      <c r="E8" s="28"/>
      <c r="F8" s="28"/>
      <c r="G8" s="28"/>
      <c r="H8" s="28"/>
      <c r="I8" s="28"/>
      <c r="J8" s="25"/>
      <c r="K8" s="25"/>
      <c r="L8" s="25"/>
      <c r="M8" s="25"/>
    </row>
    <row r="9" spans="1:13" s="12" customFormat="1" ht="20.25" thickBot="1">
      <c r="B9" s="29" t="s">
        <v>456</v>
      </c>
      <c r="C9" s="25"/>
      <c r="D9" s="25"/>
      <c r="E9" s="25"/>
      <c r="F9" s="25"/>
      <c r="G9" s="25"/>
      <c r="H9" s="25"/>
      <c r="I9" s="25"/>
      <c r="J9" s="25"/>
      <c r="K9" s="25"/>
      <c r="L9" s="25"/>
      <c r="M9" s="25"/>
    </row>
    <row r="10" spans="1:13" s="12" customFormat="1">
      <c r="B10" s="25"/>
      <c r="C10" s="25"/>
      <c r="D10" s="25"/>
      <c r="E10" s="25"/>
      <c r="F10" s="25"/>
      <c r="G10" s="25"/>
      <c r="H10" s="25"/>
      <c r="I10" s="25"/>
      <c r="J10" s="25"/>
      <c r="K10" s="25"/>
      <c r="L10" s="25"/>
      <c r="M10" s="25"/>
    </row>
    <row r="11" spans="1:13" s="12" customFormat="1">
      <c r="B11" s="30" t="s">
        <v>457</v>
      </c>
      <c r="C11" s="25"/>
      <c r="D11" s="25"/>
      <c r="E11" s="25"/>
      <c r="F11" s="25"/>
      <c r="G11" s="25"/>
      <c r="H11" s="25"/>
      <c r="I11" s="25"/>
      <c r="J11" s="25"/>
      <c r="K11" s="25"/>
      <c r="L11" s="25"/>
      <c r="M11" s="25"/>
    </row>
    <row r="12" spans="1:13" s="52" customFormat="1">
      <c r="B12" s="145" t="s">
        <v>728</v>
      </c>
      <c r="C12" s="145"/>
      <c r="D12" s="145"/>
      <c r="E12" s="145"/>
      <c r="F12" s="145"/>
      <c r="G12" s="145"/>
      <c r="H12" s="145"/>
      <c r="I12" s="145"/>
      <c r="J12" s="145"/>
      <c r="K12" s="145"/>
      <c r="L12" s="145"/>
      <c r="M12" s="145"/>
    </row>
    <row r="13" spans="1:13" s="12" customFormat="1">
      <c r="B13" s="134" t="s">
        <v>746</v>
      </c>
      <c r="C13" s="31"/>
      <c r="D13" s="31"/>
      <c r="E13" s="31"/>
      <c r="F13" s="31"/>
      <c r="G13" s="31"/>
      <c r="H13" s="31"/>
      <c r="I13" s="31"/>
      <c r="J13" s="31"/>
      <c r="K13" s="31"/>
      <c r="L13" s="31"/>
      <c r="M13" s="32"/>
    </row>
    <row r="14" spans="1:13" s="127" customFormat="1">
      <c r="B14" s="134" t="s">
        <v>747</v>
      </c>
      <c r="C14" s="31"/>
      <c r="D14" s="31"/>
      <c r="E14" s="31"/>
      <c r="F14" s="31"/>
      <c r="G14" s="31"/>
      <c r="H14" s="31"/>
      <c r="I14" s="31"/>
      <c r="J14" s="31"/>
      <c r="K14" s="31"/>
      <c r="L14" s="31"/>
      <c r="M14" s="32"/>
    </row>
    <row r="15" spans="1:13" s="130" customFormat="1">
      <c r="B15" s="132" t="s">
        <v>745</v>
      </c>
      <c r="C15" s="31"/>
      <c r="D15" s="31"/>
      <c r="E15" s="31"/>
      <c r="F15" s="31"/>
      <c r="G15" s="31"/>
      <c r="H15" s="31"/>
      <c r="I15" s="31"/>
      <c r="J15" s="31"/>
      <c r="K15" s="31"/>
      <c r="L15" s="31"/>
      <c r="M15" s="32"/>
    </row>
    <row r="16" spans="1:13" s="130" customFormat="1">
      <c r="B16" s="132" t="s">
        <v>748</v>
      </c>
      <c r="C16" s="31"/>
      <c r="D16" s="31"/>
      <c r="E16" s="31"/>
      <c r="F16" s="31"/>
      <c r="G16" s="31"/>
      <c r="H16" s="31"/>
      <c r="I16" s="31"/>
      <c r="J16" s="31"/>
      <c r="K16" s="31"/>
      <c r="L16" s="31"/>
      <c r="M16" s="32"/>
    </row>
    <row r="17" spans="2:13" s="130" customFormat="1">
      <c r="B17" s="133"/>
      <c r="C17" s="31"/>
      <c r="D17" s="31"/>
      <c r="E17" s="31"/>
      <c r="F17" s="31"/>
      <c r="G17" s="31"/>
      <c r="H17" s="31"/>
      <c r="I17" s="31"/>
      <c r="J17" s="31"/>
      <c r="K17" s="31"/>
      <c r="L17" s="31"/>
      <c r="M17" s="32"/>
    </row>
    <row r="18" spans="2:13" s="12" customFormat="1">
      <c r="B18" s="143" t="s">
        <v>458</v>
      </c>
      <c r="C18" s="143"/>
      <c r="D18" s="143"/>
      <c r="E18" s="143"/>
      <c r="F18" s="143"/>
      <c r="G18" s="25"/>
      <c r="H18" s="25"/>
      <c r="I18" s="25"/>
      <c r="J18" s="25"/>
      <c r="K18" s="25"/>
      <c r="L18" s="25"/>
      <c r="M18" s="25"/>
    </row>
    <row r="19" spans="2:13" s="12" customFormat="1">
      <c r="B19" s="33" t="s">
        <v>235</v>
      </c>
      <c r="C19" s="25"/>
      <c r="D19" s="25"/>
      <c r="E19" s="25"/>
      <c r="F19" s="25"/>
      <c r="G19" s="25"/>
      <c r="H19" s="25"/>
      <c r="I19" s="25"/>
      <c r="J19" s="25"/>
      <c r="K19" s="25"/>
      <c r="L19" s="25"/>
      <c r="M19" s="25"/>
    </row>
    <row r="20" spans="2:13" s="12" customFormat="1">
      <c r="B20" s="144" t="s">
        <v>459</v>
      </c>
      <c r="C20" s="144"/>
      <c r="D20" s="144"/>
      <c r="E20" s="144"/>
      <c r="F20" s="144"/>
      <c r="G20" s="144"/>
      <c r="H20" s="144"/>
      <c r="I20" s="144"/>
      <c r="J20" s="144"/>
      <c r="K20" s="34"/>
      <c r="L20" s="35"/>
      <c r="M20" s="35"/>
    </row>
    <row r="21" spans="2:13" s="12" customFormat="1">
      <c r="B21" s="36"/>
      <c r="C21" s="25"/>
      <c r="D21" s="25"/>
      <c r="E21" s="25"/>
      <c r="F21" s="25"/>
      <c r="G21" s="25"/>
      <c r="H21" s="25"/>
      <c r="I21" s="25"/>
      <c r="J21" s="25"/>
      <c r="K21" s="25"/>
      <c r="L21" s="25"/>
      <c r="M21" s="25"/>
    </row>
    <row r="22" spans="2:13" s="12" customFormat="1">
      <c r="B22" s="33" t="s">
        <v>460</v>
      </c>
      <c r="C22" s="25"/>
      <c r="D22" s="25"/>
      <c r="E22" s="25"/>
      <c r="F22" s="25"/>
      <c r="G22" s="25"/>
      <c r="H22" s="25"/>
      <c r="I22" s="25"/>
      <c r="J22" s="25"/>
      <c r="K22" s="25"/>
      <c r="L22" s="25"/>
      <c r="M22" s="25"/>
    </row>
    <row r="23" spans="2:13" s="12" customFormat="1">
      <c r="B23" s="37" t="s">
        <v>461</v>
      </c>
      <c r="C23" s="38"/>
      <c r="D23" s="38"/>
      <c r="E23" s="38"/>
      <c r="F23" s="38"/>
      <c r="G23" s="38"/>
      <c r="H23" s="38"/>
      <c r="I23" s="38"/>
      <c r="J23" s="39"/>
      <c r="K23" s="39"/>
      <c r="L23" s="39"/>
      <c r="M23" s="39"/>
    </row>
    <row r="24" spans="2:13" s="12" customFormat="1">
      <c r="B24" s="36"/>
      <c r="C24" s="25"/>
      <c r="D24" s="25"/>
      <c r="E24" s="25"/>
      <c r="F24" s="25"/>
      <c r="G24" s="25"/>
      <c r="H24" s="25"/>
      <c r="I24" s="25"/>
      <c r="J24" s="25"/>
      <c r="K24" s="25"/>
      <c r="L24" s="25"/>
      <c r="M24" s="25"/>
    </row>
    <row r="25" spans="2:13" s="12" customFormat="1">
      <c r="B25" s="36" t="s">
        <v>462</v>
      </c>
      <c r="C25" s="25"/>
      <c r="D25" s="25"/>
      <c r="E25" s="25"/>
      <c r="F25" s="25"/>
      <c r="G25" s="25"/>
      <c r="H25" s="25"/>
      <c r="I25" s="25"/>
      <c r="J25" s="25"/>
      <c r="K25" s="25"/>
      <c r="L25" s="25"/>
      <c r="M25" s="25"/>
    </row>
    <row r="26" spans="2:13" s="12" customFormat="1">
      <c r="B26" s="144" t="s">
        <v>765</v>
      </c>
      <c r="C26" s="144"/>
      <c r="D26" s="144"/>
      <c r="E26" s="144"/>
      <c r="F26" s="144"/>
      <c r="G26" s="144"/>
      <c r="H26" s="144"/>
      <c r="I26" s="144"/>
      <c r="J26" s="144"/>
      <c r="K26" s="144"/>
      <c r="L26" s="40"/>
      <c r="M26" s="25"/>
    </row>
    <row r="27" spans="2:13" s="12" customFormat="1" ht="18" customHeight="1">
      <c r="B27" s="41" t="s">
        <v>763</v>
      </c>
      <c r="C27" s="35"/>
      <c r="D27" s="35"/>
      <c r="E27" s="35"/>
      <c r="F27" s="35"/>
      <c r="G27" s="35"/>
      <c r="H27" s="35"/>
      <c r="I27" s="35"/>
      <c r="J27" s="35"/>
      <c r="K27" s="40"/>
      <c r="L27" s="40"/>
      <c r="M27" s="25"/>
    </row>
    <row r="28" spans="2:13" s="12" customFormat="1" ht="43.5" customHeight="1">
      <c r="B28" s="144" t="s">
        <v>766</v>
      </c>
      <c r="C28" s="144"/>
      <c r="D28" s="144"/>
      <c r="E28" s="144"/>
      <c r="F28" s="144"/>
      <c r="G28" s="144"/>
      <c r="H28" s="144"/>
      <c r="I28" s="144"/>
      <c r="J28" s="144"/>
      <c r="K28" s="144"/>
      <c r="L28" s="144"/>
      <c r="M28" s="144"/>
    </row>
    <row r="29" spans="2:13" s="12" customFormat="1">
      <c r="B29" s="41" t="s">
        <v>764</v>
      </c>
      <c r="C29" s="35"/>
      <c r="D29" s="35"/>
      <c r="E29" s="35"/>
      <c r="F29" s="35"/>
      <c r="G29" s="35"/>
      <c r="H29" s="35"/>
      <c r="I29" s="35"/>
      <c r="J29" s="35"/>
      <c r="K29" s="42"/>
      <c r="L29" s="42"/>
      <c r="M29" s="25"/>
    </row>
    <row r="30" spans="2:13" s="12" customFormat="1">
      <c r="B30" s="44" t="s">
        <v>767</v>
      </c>
      <c r="C30" s="45"/>
      <c r="D30" s="45"/>
      <c r="E30" s="45"/>
      <c r="F30" s="45"/>
      <c r="G30" s="45"/>
      <c r="H30" s="45"/>
      <c r="I30" s="45"/>
      <c r="J30" s="45"/>
      <c r="K30" s="45"/>
      <c r="L30" s="45"/>
      <c r="M30" s="25"/>
    </row>
    <row r="31" spans="2:13" s="12" customFormat="1">
      <c r="B31" s="44"/>
      <c r="C31" s="45"/>
      <c r="D31" s="45"/>
      <c r="E31" s="45"/>
      <c r="F31" s="45"/>
      <c r="G31" s="45"/>
      <c r="H31" s="45"/>
      <c r="I31" s="45"/>
      <c r="J31" s="45"/>
      <c r="K31" s="45"/>
      <c r="L31" s="45"/>
      <c r="M31" s="25"/>
    </row>
    <row r="32" spans="2:13" s="12" customFormat="1">
      <c r="B32" s="36" t="s">
        <v>463</v>
      </c>
      <c r="C32" s="45"/>
      <c r="D32" s="45"/>
      <c r="E32" s="45"/>
      <c r="F32" s="45"/>
      <c r="G32" s="45"/>
      <c r="H32" s="45"/>
      <c r="I32" s="45"/>
      <c r="J32" s="45"/>
      <c r="K32" s="45"/>
      <c r="L32" s="45"/>
      <c r="M32" s="25"/>
    </row>
    <row r="33" spans="2:13" s="12" customFormat="1">
      <c r="B33" s="46" t="s">
        <v>464</v>
      </c>
      <c r="C33" s="45"/>
      <c r="D33" s="45"/>
      <c r="E33" s="45"/>
      <c r="F33" s="45"/>
      <c r="G33" s="45"/>
      <c r="H33" s="45"/>
      <c r="I33" s="45"/>
      <c r="J33" s="45"/>
      <c r="K33" s="45"/>
      <c r="L33" s="45"/>
      <c r="M33" s="25"/>
    </row>
    <row r="34" spans="2:13" s="12" customFormat="1">
      <c r="B34" s="36"/>
      <c r="C34" s="25"/>
      <c r="D34" s="25"/>
      <c r="E34" s="25"/>
      <c r="F34" s="25"/>
      <c r="G34" s="25"/>
      <c r="H34" s="25"/>
      <c r="I34" s="25"/>
      <c r="J34" s="25"/>
      <c r="K34" s="25"/>
      <c r="L34" s="25"/>
      <c r="M34" s="25"/>
    </row>
    <row r="35" spans="2:13" s="12" customFormat="1">
      <c r="B35" s="30" t="s">
        <v>465</v>
      </c>
      <c r="C35" s="25"/>
      <c r="D35" s="25"/>
      <c r="E35" s="25"/>
      <c r="F35" s="25"/>
      <c r="G35" s="25"/>
      <c r="H35" s="25"/>
      <c r="I35" s="25"/>
      <c r="J35" s="25"/>
      <c r="K35" s="25"/>
      <c r="L35" s="25"/>
      <c r="M35" s="25"/>
    </row>
    <row r="36" spans="2:13" s="12" customFormat="1">
      <c r="B36" s="148" t="s">
        <v>720</v>
      </c>
      <c r="C36" s="148"/>
      <c r="D36" s="148"/>
      <c r="E36" s="148"/>
      <c r="F36" s="148"/>
      <c r="G36" s="148"/>
      <c r="H36" s="148"/>
      <c r="I36" s="148"/>
      <c r="J36" s="148"/>
      <c r="K36" s="25"/>
      <c r="L36" s="35"/>
      <c r="M36" s="35"/>
    </row>
    <row r="37" spans="2:13" s="12" customFormat="1">
      <c r="B37" s="25"/>
      <c r="C37" s="25"/>
      <c r="D37" s="25"/>
      <c r="E37" s="25"/>
      <c r="F37" s="25"/>
      <c r="G37" s="25"/>
      <c r="H37" s="25"/>
      <c r="I37" s="25"/>
      <c r="J37" s="25"/>
      <c r="K37" s="25"/>
      <c r="L37" s="25"/>
      <c r="M37" s="25"/>
    </row>
    <row r="38" spans="2:13" s="12" customFormat="1">
      <c r="B38" s="30" t="s">
        <v>466</v>
      </c>
      <c r="C38" s="25"/>
      <c r="D38" s="38"/>
      <c r="E38" s="25"/>
      <c r="F38" s="25"/>
      <c r="G38" s="25"/>
      <c r="H38" s="25"/>
      <c r="I38" s="25"/>
      <c r="J38" s="25"/>
      <c r="K38" s="25"/>
      <c r="L38" s="25"/>
      <c r="M38" s="25"/>
    </row>
    <row r="61" spans="2:13" ht="23.25" thickBot="1">
      <c r="B61" s="1" t="s">
        <v>226</v>
      </c>
      <c r="C61" s="1" t="s">
        <v>227</v>
      </c>
      <c r="D61" s="1" t="s">
        <v>55</v>
      </c>
      <c r="E61" s="1" t="s">
        <v>15</v>
      </c>
      <c r="F61" s="1" t="s">
        <v>228</v>
      </c>
      <c r="G61" s="1" t="s">
        <v>671</v>
      </c>
      <c r="H61" s="1" t="s">
        <v>13</v>
      </c>
      <c r="I61" s="1" t="s">
        <v>25</v>
      </c>
      <c r="J61" s="1" t="s">
        <v>229</v>
      </c>
      <c r="K61" s="1" t="s">
        <v>631</v>
      </c>
      <c r="L61" s="1" t="s">
        <v>230</v>
      </c>
      <c r="M61" s="1" t="s">
        <v>96</v>
      </c>
    </row>
    <row r="62" spans="2:13" ht="15.75" thickBot="1">
      <c r="B62" s="2" t="s">
        <v>231</v>
      </c>
      <c r="C62" s="82">
        <f>C63+C64</f>
        <v>8186</v>
      </c>
      <c r="D62" s="83">
        <f t="shared" ref="D62:L62" si="0">D63+D64</f>
        <v>1595.5</v>
      </c>
      <c r="E62" s="82">
        <f t="shared" si="0"/>
        <v>1894.5</v>
      </c>
      <c r="F62" s="83">
        <f t="shared" si="0"/>
        <v>208.37</v>
      </c>
      <c r="G62" s="82">
        <f t="shared" si="0"/>
        <v>658.92650000000003</v>
      </c>
      <c r="H62" s="83">
        <f t="shared" si="0"/>
        <v>12</v>
      </c>
      <c r="I62" s="82">
        <f t="shared" si="0"/>
        <v>738.19999999999993</v>
      </c>
      <c r="J62" s="83">
        <f t="shared" si="0"/>
        <v>419.19000000000005</v>
      </c>
      <c r="K62" s="82">
        <f t="shared" si="0"/>
        <v>0</v>
      </c>
      <c r="L62" s="83">
        <f t="shared" si="0"/>
        <v>1</v>
      </c>
      <c r="M62" s="82">
        <f t="shared" ref="M62:M67" si="1">SUM(C62:L62)</f>
        <v>13713.686500000002</v>
      </c>
    </row>
    <row r="63" spans="2:13" ht="15.75" thickBot="1">
      <c r="B63" s="2" t="s">
        <v>71</v>
      </c>
      <c r="C63" s="82">
        <f>SUMIFS(existingstable[Nameplate Capacity (MW)],existingstable[summary_status],'Queensland Summary'!$B63,existingstable[summary_bucket],'Queensland Summary'!C$61) + SUMIFS(existingnstable[Nameplate Capacity (MW)],existingnstable[summary_status],'Queensland Summary'!$B63,existingnstable[summary_bucket],'Queensland Summary'!C$61)</f>
        <v>0</v>
      </c>
      <c r="D63" s="83">
        <f>SUMIFS(existingstable[Nameplate Capacity (MW)],existingstable[summary_status],'Queensland Summary'!$B63,existingstable[summary_bucket],'Queensland Summary'!D$61) + SUMIFS(existingnstable[Nameplate Capacity (MW)],existingnstable[summary_status],'Queensland Summary'!$B63,existingnstable[summary_bucket],'Queensland Summary'!D$61)</f>
        <v>0</v>
      </c>
      <c r="E63" s="82">
        <f>SUMIFS(existingstable[Nameplate Capacity (MW)],existingstable[summary_status],'Queensland Summary'!$B63,existingstable[summary_bucket],'Queensland Summary'!E$61) + SUMIFS(existingnstable[Nameplate Capacity (MW)],existingnstable[summary_status],'Queensland Summary'!$B63,existingnstable[summary_bucket],'Queensland Summary'!E$61)</f>
        <v>34</v>
      </c>
      <c r="F63" s="83">
        <f>SUMIFS(existingstable[Nameplate Capacity (MW)],existingstable[summary_status],'Queensland Summary'!$B63,existingstable[summary_bucket],'Queensland Summary'!F$61) + SUMIFS(existingnstable[Nameplate Capacity (MW)],existingnstable[summary_status],'Queensland Summary'!$B63,existingnstable[summary_bucket],'Queensland Summary'!F$61)</f>
        <v>0</v>
      </c>
      <c r="G63" s="82">
        <f>SUMIFS(existingstable[Nameplate Capacity (MW)],existingstable[summary_status],'Queensland Summary'!$B63,existingstable[summary_bucket],'Queensland Summary'!G$61) + SUMIFS(existingnstable[Nameplate Capacity (MW)],existingnstable[summary_status],'Queensland Summary'!$B63,existingnstable[summary_bucket],'Queensland Summary'!G$61)</f>
        <v>0</v>
      </c>
      <c r="H63" s="83">
        <f>SUMIFS(existingstable[Nameplate Capacity (MW)],existingstable[summary_status],'Queensland Summary'!$B63,existingstable[summary_bucket],'Queensland Summary'!H$61) + SUMIFS(existingnstable[Nameplate Capacity (MW)],existingnstable[summary_status],'Queensland Summary'!$B63,existingnstable[summary_bucket],'Queensland Summary'!H$61)</f>
        <v>0</v>
      </c>
      <c r="I63" s="82">
        <f>SUMIFS(existingstable[Nameplate Capacity (MW)],existingstable[summary_status],'Queensland Summary'!$B63,existingstable[summary_bucket],'Queensland Summary'!I$61) + SUMIFS(existingnstable[Nameplate Capacity (MW)],existingnstable[summary_status],'Queensland Summary'!$B63,existingnstable[summary_bucket],'Queensland Summary'!I$61)</f>
        <v>0</v>
      </c>
      <c r="J63" s="83">
        <f>SUMIFS(existingstable[Nameplate Capacity (MW)],existingstable[summary_status],'Queensland Summary'!$B63,existingstable[summary_bucket],'Queensland Summary'!J$61) + SUMIFS(existingnstable[Nameplate Capacity (MW)],existingnstable[summary_status],'Queensland Summary'!$B63,existingnstable[summary_bucket],'Queensland Summary'!J$61)</f>
        <v>0</v>
      </c>
      <c r="K63" s="82">
        <f>SUMIFS(existingstable[Nameplate Capacity (MW)],existingstable[summary_status],'Queensland Summary'!$B63,existingstable[summary_bucket],'Queensland Summary'!K$61) + SUMIFS(existingnstable[Nameplate Capacity (MW)],existingnstable[summary_status],'Queensland Summary'!$B63,existingnstable[summary_bucket],'Queensland Summary'!K$61)</f>
        <v>0</v>
      </c>
      <c r="L63" s="83">
        <f>SUMIFS(existingstable[Nameplate Capacity (MW)],existingstable[summary_status],'Queensland Summary'!$B63,existingstable[summary_bucket],'Queensland Summary'!L$61) + SUMIFS(existingnstable[Nameplate Capacity (MW)],existingnstable[summary_status],'Queensland Summary'!$B63,existingnstable[summary_bucket],'Queensland Summary'!L$61)</f>
        <v>0</v>
      </c>
      <c r="M63" s="82">
        <f t="shared" si="1"/>
        <v>34</v>
      </c>
    </row>
    <row r="64" spans="2:13" ht="15.75" thickBot="1">
      <c r="B64" s="2" t="s">
        <v>232</v>
      </c>
      <c r="C64" s="82">
        <f>SUMIFS(existingstable[Nameplate Capacity (MW)],existingstable[summary_status],'Queensland Summary'!$B64,existingstable[summary_bucket],'Queensland Summary'!C$61) + SUMIFS(existingnstable[Nameplate Capacity (MW)],existingnstable[summary_status],'Queensland Summary'!$B64,existingnstable[summary_bucket],'Queensland Summary'!C$61)</f>
        <v>8186</v>
      </c>
      <c r="D64" s="83">
        <f>SUMIFS(existingstable[Nameplate Capacity (MW)],existingstable[summary_status],'Queensland Summary'!$B64,existingstable[summary_bucket],'Queensland Summary'!D$61) + SUMIFS(existingnstable[Nameplate Capacity (MW)],existingnstable[summary_status],'Queensland Summary'!$B64,existingnstable[summary_bucket],'Queensland Summary'!D$61)</f>
        <v>1595.5</v>
      </c>
      <c r="E64" s="82">
        <f>SUMIFS(existingstable[Nameplate Capacity (MW)],existingstable[summary_status],'Queensland Summary'!$B64,existingstable[summary_bucket],'Queensland Summary'!E$61) + SUMIFS(existingnstable[Nameplate Capacity (MW)],existingnstable[summary_status],'Queensland Summary'!$B64,existingnstable[summary_bucket],'Queensland Summary'!E$61)</f>
        <v>1860.5</v>
      </c>
      <c r="F64" s="83">
        <f>SUMIFS(existingstable[Nameplate Capacity (MW)],existingstable[summary_status],'Queensland Summary'!$B64,existingstable[summary_bucket],'Queensland Summary'!F$61) + SUMIFS(existingnstable[Nameplate Capacity (MW)],existingnstable[summary_status],'Queensland Summary'!$B64,existingnstable[summary_bucket],'Queensland Summary'!F$61)</f>
        <v>208.37</v>
      </c>
      <c r="G64" s="82">
        <f>SUMIFS(existingstable[Nameplate Capacity (MW)],existingstable[summary_status],'Queensland Summary'!$B64,existingstable[summary_bucket],'Queensland Summary'!G$61) + SUMIFS(existingnstable[Nameplate Capacity (MW)],existingnstable[summary_status],'Queensland Summary'!$B64,existingnstable[summary_bucket],'Queensland Summary'!G$61)</f>
        <v>658.92650000000003</v>
      </c>
      <c r="H64" s="83">
        <f>SUMIFS(existingstable[Nameplate Capacity (MW)],existingstable[summary_status],'Queensland Summary'!$B64,existingstable[summary_bucket],'Queensland Summary'!H$61) + SUMIFS(existingnstable[Nameplate Capacity (MW)],existingnstable[summary_status],'Queensland Summary'!$B64,existingnstable[summary_bucket],'Queensland Summary'!H$61)</f>
        <v>12</v>
      </c>
      <c r="I64" s="82">
        <f>SUMIFS(existingstable[Nameplate Capacity (MW)],existingstable[summary_status],'Queensland Summary'!$B64,existingstable[summary_bucket],'Queensland Summary'!I$61) + SUMIFS(existingnstable[Nameplate Capacity (MW)],existingnstable[summary_status],'Queensland Summary'!$B64,existingnstable[summary_bucket],'Queensland Summary'!I$61)</f>
        <v>738.19999999999993</v>
      </c>
      <c r="J64" s="83">
        <f>SUMIFS(existingstable[Nameplate Capacity (MW)],existingstable[summary_status],'Queensland Summary'!$B64,existingstable[summary_bucket],'Queensland Summary'!J$61) + SUMIFS(existingnstable[Nameplate Capacity (MW)],existingnstable[summary_status],'Queensland Summary'!$B64,existingnstable[summary_bucket],'Queensland Summary'!J$61)</f>
        <v>419.19000000000005</v>
      </c>
      <c r="K64" s="82">
        <f>SUMIFS(existingstable[Nameplate Capacity (MW)],existingstable[summary_status],'Queensland Summary'!$B64,existingstable[summary_bucket],'Queensland Summary'!K$61) + SUMIFS(existingnstable[Nameplate Capacity (MW)],existingnstable[summary_status],'Queensland Summary'!$B64,existingnstable[summary_bucket],'Queensland Summary'!K$61)</f>
        <v>0</v>
      </c>
      <c r="L64" s="83">
        <f>SUMIFS(existingstable[Nameplate Capacity (MW)],existingstable[summary_status],'Queensland Summary'!$B64,existingstable[summary_bucket],'Queensland Summary'!L$61) + SUMIFS(existingnstable[Nameplate Capacity (MW)],existingnstable[summary_status],'Queensland Summary'!$B64,existingnstable[summary_bucket],'Queensland Summary'!L$61)</f>
        <v>1</v>
      </c>
      <c r="M64" s="82">
        <f t="shared" si="1"/>
        <v>13679.686500000002</v>
      </c>
    </row>
    <row r="65" spans="2:13" ht="15.75" thickBot="1">
      <c r="B65" s="2" t="s">
        <v>233</v>
      </c>
      <c r="C65" s="82">
        <f>SUMIFS(newdevtable[nameplatecapacity_mw_max],newdevtable[summary_status],'Queensland Summary'!$B65,newdevtable[summary_bucket],'Queensland Summary'!C$61)</f>
        <v>0</v>
      </c>
      <c r="D65" s="83">
        <f>SUMIFS(newdevtable[nameplatecapacity_mw_max],newdevtable[summary_status],'Queensland Summary'!$B65,newdevtable[summary_bucket],'Queensland Summary'!D$61)</f>
        <v>0</v>
      </c>
      <c r="E65" s="82">
        <f>SUMIFS(newdevtable[nameplatecapacity_mw_max],newdevtable[summary_status],'Queensland Summary'!$B65,newdevtable[summary_bucket],'Queensland Summary'!E$61)</f>
        <v>0</v>
      </c>
      <c r="F65" s="83">
        <f>SUMIFS(newdevtable[nameplatecapacity_mw_max],newdevtable[summary_status],'Queensland Summary'!$B65,newdevtable[summary_bucket],'Queensland Summary'!F$61)</f>
        <v>0</v>
      </c>
      <c r="G65" s="82">
        <f>SUMIFS(newdevtable[nameplatecapacity_mw_max],newdevtable[summary_status],'Queensland Summary'!$B65,newdevtable[summary_bucket],'Queensland Summary'!G$61)</f>
        <v>1128</v>
      </c>
      <c r="H65" s="83">
        <f>SUMIFS(newdevtable[nameplatecapacity_mw_max],newdevtable[summary_status],'Queensland Summary'!$B65,newdevtable[summary_bucket],'Queensland Summary'!H$61)</f>
        <v>573.70000000000005</v>
      </c>
      <c r="I65" s="82">
        <f>SUMIFS(newdevtable[nameplatecapacity_mw_max],newdevtable[summary_status],'Queensland Summary'!$B65,newdevtable[summary_bucket],'Queensland Summary'!I$61)</f>
        <v>0</v>
      </c>
      <c r="J65" s="83">
        <f>SUMIFS(newdevtable[nameplatecapacity_mw_max],newdevtable[summary_status],'Queensland Summary'!$B65,newdevtable[summary_bucket],'Queensland Summary'!J$61)</f>
        <v>24</v>
      </c>
      <c r="K65" s="82">
        <f>SUMIFS(newdevtable[nameplatecapacity_mw_max],newdevtable[summary_status],'Queensland Summary'!$B65,newdevtable[summary_bucket],'Queensland Summary'!K$61)</f>
        <v>2</v>
      </c>
      <c r="L65" s="83">
        <f>SUMIFS(newdevtable[nameplatecapacity_mw_max],newdevtable[summary_status],'Queensland Summary'!$B65,newdevtable[summary_bucket],'Queensland Summary'!L$61)</f>
        <v>0</v>
      </c>
      <c r="M65" s="82">
        <f t="shared" si="1"/>
        <v>1727.7</v>
      </c>
    </row>
    <row r="66" spans="2:13" ht="15.75" thickBot="1">
      <c r="B66" s="2" t="s">
        <v>234</v>
      </c>
      <c r="C66" s="82">
        <f>SUMIFS(newdevtable[nameplatecapacity_mw_max],newdevtable[summary_status],'Queensland Summary'!$B66,newdevtable[summary_bucket],'Queensland Summary'!C$61)</f>
        <v>0</v>
      </c>
      <c r="D66" s="83">
        <f>SUMIFS(newdevtable[nameplatecapacity_mw_max],newdevtable[summary_status],'Queensland Summary'!$B66,newdevtable[summary_bucket],'Queensland Summary'!D$61)</f>
        <v>0</v>
      </c>
      <c r="E66" s="82">
        <f>SUMIFS(newdevtable[nameplatecapacity_mw_max],newdevtable[summary_status],'Queensland Summary'!$B66,newdevtable[summary_bucket],'Queensland Summary'!E$61)</f>
        <v>1000</v>
      </c>
      <c r="F66" s="83">
        <f>SUMIFS(newdevtable[nameplatecapacity_mw_max],newdevtable[summary_status],'Queensland Summary'!$B66,newdevtable[summary_bucket],'Queensland Summary'!F$61)</f>
        <v>15.205</v>
      </c>
      <c r="G66" s="82">
        <f>SUMIFS(newdevtable[nameplatecapacity_mw_max],newdevtable[summary_status],'Queensland Summary'!$B66,newdevtable[summary_bucket],'Queensland Summary'!G$61)</f>
        <v>10670.226720000001</v>
      </c>
      <c r="H66" s="83">
        <f>SUMIFS(newdevtable[nameplatecapacity_mw_max],newdevtable[summary_status],'Queensland Summary'!$B66,newdevtable[summary_bucket],'Queensland Summary'!H$61)</f>
        <v>1188.4000000000001</v>
      </c>
      <c r="I66" s="82">
        <f>SUMIFS(newdevtable[nameplatecapacity_mw_max],newdevtable[summary_status],'Queensland Summary'!$B66,newdevtable[summary_bucket],'Queensland Summary'!I$61)</f>
        <v>250</v>
      </c>
      <c r="J66" s="83">
        <f>SUMIFS(newdevtable[nameplatecapacity_mw_max],newdevtable[summary_status],'Queensland Summary'!$B66,newdevtable[summary_bucket],'Queensland Summary'!J$61)</f>
        <v>189.6</v>
      </c>
      <c r="K66" s="82">
        <f>SUMIFS(newdevtable[nameplatecapacity_mw_max],newdevtable[summary_status],'Queensland Summary'!$B66,newdevtable[summary_bucket],'Queensland Summary'!K$61)</f>
        <v>1120</v>
      </c>
      <c r="L66" s="83">
        <f>SUMIFS(newdevtable[nameplatecapacity_mw_max],newdevtable[summary_status],'Queensland Summary'!$B66,newdevtable[summary_bucket],'Queensland Summary'!L$61)</f>
        <v>0</v>
      </c>
      <c r="M66" s="82">
        <f>SUM(C66:L66)</f>
        <v>14433.43172</v>
      </c>
    </row>
    <row r="67" spans="2:13" ht="15.75" thickBot="1">
      <c r="B67" s="2" t="s">
        <v>235</v>
      </c>
      <c r="C67" s="82">
        <f>SUMIFS(existingstable[Nameplate Capacity (MW)],existingstable[summary_status],'Queensland Summary'!$B67,existingstable[summary_bucket],'Queensland Summary'!C$61) + SUMIFS(existingnstable[Nameplate Capacity (MW)],existingnstable[summary_status],'Queensland Summary'!$B67,existingnstable[summary_bucket],'Queensland Summary'!C$61)</f>
        <v>0</v>
      </c>
      <c r="D67" s="83">
        <f>SUMIFS(existingstable[Nameplate Capacity (MW)],existingstable[summary_status],'Queensland Summary'!$B67,existingstable[summary_bucket],'Queensland Summary'!D$61) + SUMIFS(existingnstable[Nameplate Capacity (MW)],existingnstable[summary_status],'Queensland Summary'!$B67,existingnstable[summary_bucket],'Queensland Summary'!D$61)</f>
        <v>0</v>
      </c>
      <c r="E67" s="82">
        <f>SUMIFS(existingstable[Nameplate Capacity (MW)],existingstable[summary_status],'Queensland Summary'!$B67,existingstable[summary_bucket],'Queensland Summary'!E$61) + SUMIFS(existingnstable[Nameplate Capacity (MW)],existingnstable[summary_status],'Queensland Summary'!$B67,existingnstable[summary_bucket],'Queensland Summary'!E$61)</f>
        <v>0</v>
      </c>
      <c r="F67" s="83">
        <f>SUMIFS(existingstable[Nameplate Capacity (MW)],existingstable[summary_status],'Queensland Summary'!$B67,existingstable[summary_bucket],'Queensland Summary'!F$61) + SUMIFS(existingnstable[Nameplate Capacity (MW)],existingnstable[summary_status],'Queensland Summary'!$B67,existingnstable[summary_bucket],'Queensland Summary'!F$61)</f>
        <v>0</v>
      </c>
      <c r="G67" s="82">
        <f>SUMIFS(existingstable[Nameplate Capacity (MW)],existingstable[summary_status],'Queensland Summary'!$B67,existingstable[summary_bucket],'Queensland Summary'!G$61) + SUMIFS(existingnstable[Nameplate Capacity (MW)],existingnstable[summary_status],'Queensland Summary'!$B67,existingnstable[summary_bucket],'Queensland Summary'!G$61)</f>
        <v>0</v>
      </c>
      <c r="H67" s="83">
        <f>SUMIFS(existingstable[Nameplate Capacity (MW)],existingstable[summary_status],'Queensland Summary'!$B67,existingstable[summary_bucket],'Queensland Summary'!H$61) + SUMIFS(existingnstable[Nameplate Capacity (MW)],existingnstable[summary_status],'Queensland Summary'!$B67,existingnstable[summary_bucket],'Queensland Summary'!H$61)</f>
        <v>0</v>
      </c>
      <c r="I67" s="82">
        <f>SUMIFS(existingstable[Nameplate Capacity (MW)],existingstable[summary_status],'Queensland Summary'!$B67,existingstable[summary_bucket],'Queensland Summary'!I$61) + SUMIFS(existingnstable[Nameplate Capacity (MW)],existingnstable[summary_status],'Queensland Summary'!$B67,existingnstable[summary_bucket],'Queensland Summary'!I$61)</f>
        <v>0</v>
      </c>
      <c r="J67" s="83">
        <f>SUMIFS(existingstable[Nameplate Capacity (MW)],existingstable[summary_status],'Queensland Summary'!$B67,existingstable[summary_bucket],'Queensland Summary'!J$61) + SUMIFS(existingnstable[Nameplate Capacity (MW)],existingnstable[summary_status],'Queensland Summary'!$B67,existingnstable[summary_bucket],'Queensland Summary'!J$61)</f>
        <v>0</v>
      </c>
      <c r="K67" s="82">
        <f>SUMIFS(existingstable[Nameplate Capacity (MW)],existingstable[summary_status],'Queensland Summary'!$B67,existingstable[summary_bucket],'Queensland Summary'!K$61) + SUMIFS(existingnstable[Nameplate Capacity (MW)],existingnstable[summary_status],'Queensland Summary'!$B67,existingnstable[summary_bucket],'Queensland Summary'!K$61)</f>
        <v>0</v>
      </c>
      <c r="L67" s="83">
        <f>SUMIFS(existingstable[Nameplate Capacity (MW)],existingstable[summary_status],'Queensland Summary'!$B67,existingstable[summary_bucket],'Queensland Summary'!L$61) + SUMIFS(existingnstable[Nameplate Capacity (MW)],existingnstable[summary_status],'Queensland Summary'!$B67,existingnstable[summary_bucket],'Queensland Summary'!L$61)</f>
        <v>0</v>
      </c>
      <c r="M67" s="82">
        <f t="shared" si="1"/>
        <v>0</v>
      </c>
    </row>
    <row r="68" spans="2:13">
      <c r="B68" s="146" t="s">
        <v>236</v>
      </c>
      <c r="C68" s="147"/>
      <c r="D68" s="147"/>
      <c r="E68" s="147"/>
      <c r="F68" s="147"/>
      <c r="G68" s="147"/>
      <c r="H68" s="147"/>
      <c r="I68" s="147"/>
      <c r="J68" s="147"/>
      <c r="K68" s="147"/>
      <c r="L68" s="147"/>
    </row>
    <row r="69" spans="2:13">
      <c r="B69" s="146" t="s">
        <v>672</v>
      </c>
      <c r="C69" s="147"/>
      <c r="D69" s="147"/>
      <c r="E69" s="147"/>
      <c r="F69" s="147"/>
      <c r="G69" s="147"/>
      <c r="H69" s="147"/>
      <c r="I69" s="147"/>
      <c r="J69" s="147"/>
      <c r="K69" s="147"/>
    </row>
    <row r="70" spans="2:13">
      <c r="B70" s="139"/>
      <c r="C70" s="139"/>
      <c r="D70" s="139"/>
      <c r="E70" s="139"/>
      <c r="F70" s="139"/>
      <c r="G70" s="139"/>
      <c r="H70" s="139"/>
      <c r="I70" s="139"/>
      <c r="J70" s="139"/>
      <c r="K70" s="139"/>
      <c r="L70" s="139"/>
      <c r="M70" s="139"/>
    </row>
    <row r="71" spans="2:13">
      <c r="B71" s="139"/>
      <c r="C71" s="139"/>
      <c r="D71" s="139"/>
      <c r="E71" s="139"/>
      <c r="F71" s="139"/>
      <c r="G71" s="139"/>
      <c r="H71" s="139"/>
      <c r="I71" s="139"/>
      <c r="J71" s="139"/>
      <c r="K71" s="139"/>
      <c r="L71" s="139"/>
    </row>
  </sheetData>
  <mergeCells count="11">
    <mergeCell ref="B70:M70"/>
    <mergeCell ref="B71:L71"/>
    <mergeCell ref="B5:I5"/>
    <mergeCell ref="B18:F18"/>
    <mergeCell ref="B20:J20"/>
    <mergeCell ref="B12:M12"/>
    <mergeCell ref="B69:K69"/>
    <mergeCell ref="B68:L68"/>
    <mergeCell ref="B28:M28"/>
    <mergeCell ref="B36:J36"/>
    <mergeCell ref="B26:K26"/>
  </mergeCells>
  <hyperlinks>
    <hyperlink ref="B5" r:id="rId1" xr:uid="{00000000-0004-0000-0000-000000000000}"/>
  </hyperlinks>
  <pageMargins left="0.7" right="0.7" top="0.75" bottom="0.75" header="0.3" footer="0.3"/>
  <pageSetup paperSize="9" orientation="portrait" horizontalDpi="300" verticalDpi="3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P131"/>
  <sheetViews>
    <sheetView workbookViewId="0"/>
  </sheetViews>
  <sheetFormatPr defaultColWidth="9.140625" defaultRowHeight="15"/>
  <cols>
    <col min="1" max="1" width="4.7109375" style="25" customWidth="1"/>
    <col min="2" max="11" width="9.140625" style="25"/>
    <col min="12" max="12" width="13.28515625" style="25" customWidth="1"/>
    <col min="13" max="16384" width="9.140625" style="25"/>
  </cols>
  <sheetData>
    <row r="1" spans="2:12" ht="20.25" thickBot="1">
      <c r="B1" s="29" t="s">
        <v>467</v>
      </c>
    </row>
    <row r="2" spans="2:12">
      <c r="B2" s="41" t="s">
        <v>468</v>
      </c>
      <c r="E2" s="41"/>
      <c r="F2" s="41"/>
      <c r="G2" s="41"/>
      <c r="H2" s="41"/>
      <c r="I2" s="41"/>
      <c r="J2" s="41"/>
      <c r="K2" s="41"/>
      <c r="L2" s="41"/>
    </row>
    <row r="3" spans="2:12">
      <c r="E3" s="41"/>
      <c r="F3" s="41"/>
      <c r="G3" s="41"/>
      <c r="H3" s="41"/>
      <c r="I3" s="41"/>
      <c r="J3" s="41"/>
      <c r="K3" s="41"/>
      <c r="L3" s="41"/>
    </row>
    <row r="4" spans="2:12">
      <c r="B4" s="30" t="s">
        <v>469</v>
      </c>
      <c r="D4" s="47">
        <v>41263</v>
      </c>
      <c r="E4" s="41"/>
      <c r="F4" s="41"/>
      <c r="G4" s="41"/>
      <c r="H4" s="41"/>
      <c r="I4" s="41"/>
      <c r="J4" s="41"/>
      <c r="K4" s="41"/>
      <c r="L4" s="41"/>
    </row>
    <row r="5" spans="2:12" ht="28.5" customHeight="1">
      <c r="B5" s="151" t="s">
        <v>470</v>
      </c>
      <c r="C5" s="149"/>
      <c r="D5" s="149"/>
      <c r="E5" s="149"/>
      <c r="F5" s="149"/>
      <c r="G5" s="149"/>
      <c r="H5" s="149"/>
      <c r="I5" s="149"/>
      <c r="J5" s="149"/>
      <c r="K5" s="149"/>
      <c r="L5" s="41"/>
    </row>
    <row r="6" spans="2:12" ht="54.75" customHeight="1">
      <c r="B6" s="151" t="s">
        <v>471</v>
      </c>
      <c r="C6" s="149"/>
      <c r="D6" s="149"/>
      <c r="E6" s="149"/>
      <c r="F6" s="149"/>
      <c r="G6" s="149"/>
      <c r="H6" s="149"/>
      <c r="I6" s="149"/>
      <c r="J6" s="149"/>
      <c r="K6" s="149"/>
      <c r="L6" s="41"/>
    </row>
    <row r="7" spans="2:12" ht="43.5" customHeight="1">
      <c r="B7" s="151" t="s">
        <v>472</v>
      </c>
      <c r="C7" s="149"/>
      <c r="D7" s="149"/>
      <c r="E7" s="149"/>
      <c r="F7" s="149"/>
      <c r="G7" s="149"/>
      <c r="H7" s="149"/>
      <c r="I7" s="149"/>
      <c r="J7" s="149"/>
      <c r="K7" s="149"/>
      <c r="L7" s="41"/>
    </row>
    <row r="8" spans="2:12">
      <c r="B8" s="41"/>
      <c r="C8" s="41"/>
      <c r="D8" s="41"/>
      <c r="E8" s="41"/>
      <c r="F8" s="41"/>
      <c r="G8" s="41"/>
      <c r="H8" s="41"/>
      <c r="I8" s="41"/>
      <c r="J8" s="41"/>
      <c r="K8" s="41"/>
      <c r="L8" s="41"/>
    </row>
    <row r="9" spans="2:12">
      <c r="B9" s="30" t="s">
        <v>469</v>
      </c>
      <c r="C9" s="41"/>
      <c r="D9" s="47">
        <v>41327</v>
      </c>
      <c r="E9" s="41"/>
      <c r="F9" s="41"/>
      <c r="G9" s="41"/>
      <c r="H9" s="41"/>
      <c r="I9" s="41"/>
      <c r="J9" s="41"/>
      <c r="K9" s="41"/>
      <c r="L9" s="41"/>
    </row>
    <row r="10" spans="2:12" ht="28.5" customHeight="1">
      <c r="B10" s="149" t="s">
        <v>473</v>
      </c>
      <c r="C10" s="149"/>
      <c r="D10" s="149"/>
      <c r="E10" s="149"/>
      <c r="F10" s="149"/>
      <c r="G10" s="149"/>
      <c r="H10" s="149"/>
      <c r="I10" s="149"/>
      <c r="J10" s="149"/>
      <c r="K10" s="149"/>
      <c r="L10" s="41"/>
    </row>
    <row r="11" spans="2:12" ht="28.5" customHeight="1">
      <c r="B11" s="149" t="s">
        <v>474</v>
      </c>
      <c r="C11" s="149"/>
      <c r="D11" s="149"/>
      <c r="E11" s="149"/>
      <c r="F11" s="149"/>
      <c r="G11" s="149"/>
      <c r="H11" s="149"/>
      <c r="I11" s="149"/>
      <c r="J11" s="149"/>
      <c r="K11" s="149"/>
      <c r="L11" s="41"/>
    </row>
    <row r="12" spans="2:12">
      <c r="B12" s="41"/>
      <c r="C12" s="41"/>
      <c r="D12" s="41"/>
      <c r="E12" s="41"/>
      <c r="F12" s="41"/>
      <c r="G12" s="41"/>
      <c r="H12" s="41"/>
      <c r="I12" s="41"/>
      <c r="J12" s="41"/>
      <c r="K12" s="41"/>
      <c r="L12" s="41"/>
    </row>
    <row r="13" spans="2:12">
      <c r="B13" s="30" t="s">
        <v>469</v>
      </c>
      <c r="C13" s="41"/>
      <c r="D13" s="47">
        <v>41455</v>
      </c>
      <c r="E13" s="41"/>
      <c r="F13" s="41"/>
      <c r="G13" s="41"/>
      <c r="H13" s="41"/>
      <c r="I13" s="41"/>
      <c r="J13" s="41"/>
      <c r="K13" s="41"/>
      <c r="L13" s="41"/>
    </row>
    <row r="14" spans="2:12" ht="54.75" customHeight="1">
      <c r="B14" s="149" t="s">
        <v>475</v>
      </c>
      <c r="C14" s="149"/>
      <c r="D14" s="149"/>
      <c r="E14" s="149"/>
      <c r="F14" s="149"/>
      <c r="G14" s="149"/>
      <c r="H14" s="149"/>
      <c r="I14" s="149"/>
      <c r="J14" s="149"/>
      <c r="K14" s="149"/>
      <c r="L14" s="41"/>
    </row>
    <row r="15" spans="2:12" ht="28.5" customHeight="1">
      <c r="B15" s="149" t="s">
        <v>476</v>
      </c>
      <c r="C15" s="149"/>
      <c r="D15" s="149"/>
      <c r="E15" s="149"/>
      <c r="F15" s="149"/>
      <c r="G15" s="149"/>
      <c r="H15" s="149"/>
      <c r="I15" s="149"/>
      <c r="J15" s="149"/>
      <c r="K15" s="149"/>
      <c r="L15" s="41"/>
    </row>
    <row r="16" spans="2:12" ht="28.5" customHeight="1">
      <c r="B16" s="149" t="s">
        <v>477</v>
      </c>
      <c r="C16" s="149"/>
      <c r="D16" s="149"/>
      <c r="E16" s="149"/>
      <c r="F16" s="149"/>
      <c r="G16" s="149"/>
      <c r="H16" s="149"/>
      <c r="I16" s="149"/>
      <c r="J16" s="149"/>
      <c r="K16" s="149"/>
      <c r="L16" s="41"/>
    </row>
    <row r="17" spans="2:12">
      <c r="B17" s="41"/>
      <c r="C17" s="41"/>
      <c r="D17" s="41"/>
      <c r="E17" s="41"/>
      <c r="F17" s="41"/>
      <c r="G17" s="41"/>
      <c r="H17" s="41"/>
      <c r="I17" s="41"/>
      <c r="J17" s="41"/>
      <c r="K17" s="41"/>
      <c r="L17" s="41"/>
    </row>
    <row r="18" spans="2:12">
      <c r="B18" s="30" t="s">
        <v>469</v>
      </c>
      <c r="C18" s="41"/>
      <c r="D18" s="47">
        <v>41593</v>
      </c>
      <c r="E18" s="41"/>
      <c r="F18" s="41"/>
      <c r="G18" s="41"/>
      <c r="H18" s="41"/>
      <c r="I18" s="41"/>
      <c r="J18" s="41"/>
      <c r="K18" s="41"/>
      <c r="L18" s="41"/>
    </row>
    <row r="19" spans="2:12" ht="43.5" customHeight="1">
      <c r="B19" s="149" t="s">
        <v>478</v>
      </c>
      <c r="C19" s="149"/>
      <c r="D19" s="149"/>
      <c r="E19" s="149"/>
      <c r="F19" s="149"/>
      <c r="G19" s="149"/>
      <c r="H19" s="149"/>
      <c r="I19" s="149"/>
      <c r="J19" s="149"/>
      <c r="K19" s="149"/>
      <c r="L19" s="41"/>
    </row>
    <row r="20" spans="2:12">
      <c r="B20" s="41"/>
      <c r="C20" s="41"/>
      <c r="D20" s="41"/>
      <c r="E20" s="41"/>
      <c r="F20" s="41"/>
      <c r="G20" s="41"/>
      <c r="H20" s="41"/>
      <c r="I20" s="41"/>
      <c r="J20" s="41"/>
      <c r="K20" s="41"/>
      <c r="L20" s="41"/>
    </row>
    <row r="21" spans="2:12">
      <c r="B21" s="30" t="s">
        <v>469</v>
      </c>
      <c r="C21" s="41"/>
      <c r="D21" s="47">
        <v>41698</v>
      </c>
      <c r="E21" s="41"/>
      <c r="F21" s="41"/>
      <c r="G21" s="41"/>
      <c r="H21" s="41"/>
      <c r="I21" s="41"/>
      <c r="J21" s="41"/>
      <c r="K21" s="41"/>
      <c r="L21" s="41"/>
    </row>
    <row r="22" spans="2:12" ht="28.5" customHeight="1">
      <c r="B22" s="149" t="s">
        <v>479</v>
      </c>
      <c r="C22" s="149"/>
      <c r="D22" s="149"/>
      <c r="E22" s="149"/>
      <c r="F22" s="149"/>
      <c r="G22" s="149"/>
      <c r="H22" s="149"/>
      <c r="I22" s="149"/>
      <c r="J22" s="149"/>
      <c r="K22" s="149"/>
      <c r="L22" s="41"/>
    </row>
    <row r="23" spans="2:12">
      <c r="B23" s="45"/>
      <c r="C23" s="45"/>
      <c r="D23" s="45"/>
      <c r="E23" s="45"/>
      <c r="F23" s="45"/>
      <c r="G23" s="45"/>
      <c r="H23" s="45"/>
      <c r="I23" s="45"/>
      <c r="J23" s="45"/>
      <c r="K23" s="45"/>
      <c r="L23" s="41"/>
    </row>
    <row r="24" spans="2:12">
      <c r="B24" s="30" t="s">
        <v>469</v>
      </c>
      <c r="C24" s="41"/>
      <c r="D24" s="47">
        <v>41789</v>
      </c>
      <c r="E24" s="41"/>
      <c r="F24" s="41"/>
      <c r="G24" s="41"/>
      <c r="H24" s="41"/>
      <c r="I24" s="41"/>
      <c r="J24" s="41"/>
      <c r="K24" s="41"/>
      <c r="L24" s="41"/>
    </row>
    <row r="25" spans="2:12" ht="28.5" customHeight="1">
      <c r="B25" s="48" t="s">
        <v>480</v>
      </c>
      <c r="C25" s="49"/>
      <c r="D25" s="50"/>
      <c r="E25" s="49"/>
      <c r="F25" s="49"/>
      <c r="G25" s="49"/>
      <c r="H25" s="49"/>
      <c r="I25" s="49"/>
      <c r="J25" s="49"/>
      <c r="K25" s="49"/>
      <c r="L25" s="41"/>
    </row>
    <row r="26" spans="2:12" ht="28.5" customHeight="1">
      <c r="B26" s="48" t="s">
        <v>481</v>
      </c>
      <c r="C26" s="48"/>
      <c r="D26" s="48"/>
      <c r="E26" s="48"/>
      <c r="F26" s="48"/>
      <c r="G26" s="48"/>
      <c r="H26" s="48"/>
      <c r="I26" s="48"/>
      <c r="J26" s="48"/>
      <c r="K26" s="48"/>
      <c r="L26" s="41"/>
    </row>
    <row r="27" spans="2:12" ht="28.5" customHeight="1">
      <c r="B27" s="48" t="s">
        <v>482</v>
      </c>
      <c r="C27" s="48"/>
      <c r="D27" s="48"/>
      <c r="E27" s="48"/>
      <c r="F27" s="48"/>
      <c r="G27" s="48"/>
      <c r="H27" s="48"/>
      <c r="I27" s="48"/>
      <c r="J27" s="48"/>
      <c r="K27" s="48"/>
      <c r="L27" s="41"/>
    </row>
    <row r="28" spans="2:12" ht="28.5" customHeight="1">
      <c r="B28" s="149" t="s">
        <v>483</v>
      </c>
      <c r="C28" s="149"/>
      <c r="D28" s="149"/>
      <c r="E28" s="149"/>
      <c r="F28" s="149"/>
      <c r="G28" s="149"/>
      <c r="H28" s="149"/>
      <c r="I28" s="149"/>
      <c r="J28" s="149"/>
      <c r="K28" s="149"/>
      <c r="L28" s="41"/>
    </row>
    <row r="29" spans="2:12" ht="54.75" customHeight="1">
      <c r="B29" s="149" t="s">
        <v>707</v>
      </c>
      <c r="C29" s="149"/>
      <c r="D29" s="149"/>
      <c r="E29" s="149"/>
      <c r="F29" s="149"/>
      <c r="G29" s="149"/>
      <c r="H29" s="149"/>
      <c r="I29" s="149"/>
      <c r="J29" s="149"/>
      <c r="K29" s="149"/>
      <c r="L29" s="41"/>
    </row>
    <row r="30" spans="2:12" ht="43.5" customHeight="1">
      <c r="B30" s="149" t="s">
        <v>484</v>
      </c>
      <c r="C30" s="149"/>
      <c r="D30" s="149"/>
      <c r="E30" s="149"/>
      <c r="F30" s="149"/>
      <c r="G30" s="149"/>
      <c r="H30" s="149"/>
      <c r="I30" s="149"/>
      <c r="J30" s="149"/>
      <c r="K30" s="149"/>
      <c r="L30" s="41"/>
    </row>
    <row r="31" spans="2:12">
      <c r="B31" s="41"/>
      <c r="C31" s="41"/>
      <c r="D31" s="41"/>
      <c r="E31" s="41"/>
      <c r="F31" s="41"/>
      <c r="G31" s="41"/>
      <c r="H31" s="41"/>
      <c r="I31" s="41"/>
      <c r="J31" s="41"/>
      <c r="K31" s="41"/>
      <c r="L31" s="41"/>
    </row>
    <row r="32" spans="2:12">
      <c r="B32" s="30" t="s">
        <v>469</v>
      </c>
      <c r="C32" s="41"/>
      <c r="D32" s="47">
        <v>41858</v>
      </c>
      <c r="E32" s="41"/>
      <c r="F32" s="41"/>
      <c r="G32" s="41"/>
      <c r="H32" s="41"/>
      <c r="I32" s="41"/>
      <c r="J32" s="41"/>
      <c r="K32" s="41"/>
      <c r="L32" s="41"/>
    </row>
    <row r="33" spans="2:12" ht="28.5" customHeight="1">
      <c r="B33" s="144" t="s">
        <v>708</v>
      </c>
      <c r="C33" s="152"/>
      <c r="D33" s="152"/>
      <c r="E33" s="152"/>
      <c r="F33" s="152"/>
      <c r="G33" s="152"/>
      <c r="H33" s="152"/>
      <c r="I33" s="152"/>
      <c r="J33" s="152"/>
      <c r="K33" s="152"/>
      <c r="L33" s="41"/>
    </row>
    <row r="34" spans="2:12" ht="28.5" customHeight="1">
      <c r="B34" s="152" t="s">
        <v>485</v>
      </c>
      <c r="C34" s="152"/>
      <c r="D34" s="152"/>
      <c r="E34" s="152"/>
      <c r="F34" s="152"/>
      <c r="G34" s="152"/>
      <c r="H34" s="152"/>
      <c r="I34" s="152"/>
      <c r="J34" s="152"/>
      <c r="K34" s="152"/>
      <c r="L34" s="41"/>
    </row>
    <row r="35" spans="2:12">
      <c r="B35" s="41"/>
      <c r="C35" s="41"/>
      <c r="D35" s="41"/>
      <c r="E35" s="41"/>
      <c r="F35" s="41"/>
      <c r="G35" s="41"/>
      <c r="H35" s="41"/>
      <c r="I35" s="41"/>
      <c r="J35" s="41"/>
      <c r="K35" s="41"/>
      <c r="L35" s="41"/>
    </row>
    <row r="36" spans="2:12">
      <c r="B36" s="30" t="s">
        <v>469</v>
      </c>
      <c r="C36" s="41"/>
      <c r="D36" s="47">
        <v>41983</v>
      </c>
      <c r="E36" s="41"/>
      <c r="F36" s="41"/>
      <c r="G36" s="41"/>
      <c r="H36" s="41"/>
      <c r="I36" s="41"/>
      <c r="J36" s="41"/>
      <c r="K36" s="41"/>
      <c r="L36" s="41"/>
    </row>
    <row r="37" spans="2:12" ht="28.5" customHeight="1">
      <c r="B37" s="149" t="s">
        <v>486</v>
      </c>
      <c r="C37" s="149"/>
      <c r="D37" s="149"/>
      <c r="E37" s="149"/>
      <c r="F37" s="149"/>
      <c r="G37" s="149"/>
      <c r="H37" s="149"/>
      <c r="I37" s="149"/>
      <c r="J37" s="149"/>
      <c r="K37" s="149"/>
      <c r="L37" s="41"/>
    </row>
    <row r="38" spans="2:12">
      <c r="B38" s="51"/>
      <c r="C38" s="51"/>
      <c r="D38" s="51"/>
      <c r="E38" s="51"/>
      <c r="F38" s="51"/>
      <c r="G38" s="51"/>
      <c r="H38" s="51"/>
      <c r="I38" s="51"/>
      <c r="J38" s="51"/>
      <c r="K38" s="51"/>
      <c r="L38" s="41"/>
    </row>
    <row r="39" spans="2:12">
      <c r="B39" s="30" t="s">
        <v>469</v>
      </c>
      <c r="C39" s="41"/>
      <c r="D39" s="47">
        <v>42109</v>
      </c>
      <c r="E39" s="41"/>
      <c r="F39" s="41"/>
      <c r="G39" s="41"/>
      <c r="H39" s="41"/>
      <c r="I39" s="41"/>
      <c r="J39" s="41"/>
      <c r="K39" s="41"/>
      <c r="L39" s="41"/>
    </row>
    <row r="40" spans="2:12" ht="28.5" customHeight="1">
      <c r="B40" s="149" t="s">
        <v>487</v>
      </c>
      <c r="C40" s="149"/>
      <c r="D40" s="149"/>
      <c r="E40" s="149"/>
      <c r="F40" s="149"/>
      <c r="G40" s="149"/>
      <c r="H40" s="149"/>
      <c r="I40" s="149"/>
      <c r="J40" s="149"/>
      <c r="K40" s="149"/>
      <c r="L40" s="41"/>
    </row>
    <row r="41" spans="2:12" ht="28.5" customHeight="1">
      <c r="B41" s="151" t="s">
        <v>709</v>
      </c>
      <c r="C41" s="149"/>
      <c r="D41" s="149"/>
      <c r="E41" s="149"/>
      <c r="F41" s="149"/>
      <c r="G41" s="149"/>
      <c r="H41" s="149"/>
      <c r="I41" s="149"/>
      <c r="J41" s="149"/>
      <c r="K41" s="149"/>
      <c r="L41" s="41"/>
    </row>
    <row r="42" spans="2:12">
      <c r="B42" s="41"/>
      <c r="C42" s="41"/>
      <c r="D42" s="41"/>
      <c r="E42" s="41"/>
      <c r="F42" s="41"/>
      <c r="G42" s="41"/>
      <c r="H42" s="41"/>
      <c r="I42" s="41"/>
      <c r="J42" s="41"/>
      <c r="K42" s="41"/>
      <c r="L42" s="41"/>
    </row>
    <row r="43" spans="2:12">
      <c r="B43" s="30" t="s">
        <v>469</v>
      </c>
      <c r="C43" s="41"/>
      <c r="D43" s="47">
        <v>42229</v>
      </c>
      <c r="E43" s="41"/>
      <c r="F43" s="41"/>
      <c r="G43" s="41"/>
      <c r="H43" s="41"/>
      <c r="I43" s="41"/>
      <c r="J43" s="41"/>
      <c r="K43" s="41"/>
      <c r="L43" s="41"/>
    </row>
    <row r="44" spans="2:12" ht="28.5" customHeight="1">
      <c r="B44" s="149" t="s">
        <v>488</v>
      </c>
      <c r="C44" s="149"/>
      <c r="D44" s="149"/>
      <c r="E44" s="149"/>
      <c r="F44" s="149"/>
      <c r="G44" s="149"/>
      <c r="H44" s="149"/>
      <c r="I44" s="149"/>
      <c r="J44" s="149"/>
      <c r="K44" s="149"/>
      <c r="L44" s="41"/>
    </row>
    <row r="45" spans="2:12">
      <c r="B45" s="41"/>
      <c r="C45" s="41"/>
      <c r="D45" s="41"/>
      <c r="E45" s="41"/>
      <c r="F45" s="41"/>
      <c r="G45" s="41"/>
      <c r="H45" s="41"/>
      <c r="I45" s="41"/>
      <c r="J45" s="41"/>
      <c r="K45" s="41"/>
      <c r="L45" s="41"/>
    </row>
    <row r="46" spans="2:12">
      <c r="B46" s="30" t="s">
        <v>469</v>
      </c>
      <c r="C46" s="41"/>
      <c r="D46" s="47">
        <v>42432</v>
      </c>
      <c r="E46" s="41"/>
      <c r="F46" s="41"/>
      <c r="G46" s="41"/>
      <c r="H46" s="41"/>
      <c r="I46" s="41"/>
      <c r="J46" s="41"/>
      <c r="K46" s="41"/>
      <c r="L46" s="41"/>
    </row>
    <row r="47" spans="2:12" ht="28.5" customHeight="1">
      <c r="B47" s="150" t="s">
        <v>489</v>
      </c>
      <c r="C47" s="150"/>
      <c r="D47" s="150"/>
      <c r="E47" s="150"/>
      <c r="F47" s="150"/>
      <c r="G47" s="150"/>
      <c r="H47" s="150"/>
      <c r="I47" s="150"/>
      <c r="J47" s="150"/>
      <c r="K47" s="150"/>
      <c r="L47" s="150"/>
    </row>
    <row r="48" spans="2:12" ht="28.5" customHeight="1">
      <c r="B48" s="144" t="s">
        <v>490</v>
      </c>
      <c r="C48" s="144"/>
      <c r="D48" s="144"/>
      <c r="E48" s="144"/>
      <c r="F48" s="144"/>
      <c r="G48" s="144"/>
      <c r="H48" s="144"/>
      <c r="I48" s="144"/>
      <c r="J48" s="144"/>
      <c r="K48" s="144"/>
      <c r="L48" s="144"/>
    </row>
    <row r="49" spans="2:12" ht="28.5" customHeight="1">
      <c r="B49" s="144" t="s">
        <v>491</v>
      </c>
      <c r="C49" s="144"/>
      <c r="D49" s="144"/>
      <c r="E49" s="144"/>
      <c r="F49" s="144"/>
      <c r="G49" s="144"/>
      <c r="H49" s="144"/>
      <c r="I49" s="144"/>
      <c r="J49" s="144"/>
      <c r="K49" s="144"/>
      <c r="L49" s="144"/>
    </row>
    <row r="50" spans="2:12" ht="54.75" customHeight="1">
      <c r="B50" s="144" t="s">
        <v>492</v>
      </c>
      <c r="C50" s="144"/>
      <c r="D50" s="144"/>
      <c r="E50" s="144"/>
      <c r="F50" s="144"/>
      <c r="G50" s="144"/>
      <c r="H50" s="144"/>
      <c r="I50" s="144"/>
      <c r="J50" s="144"/>
      <c r="K50" s="144"/>
      <c r="L50" s="41"/>
    </row>
    <row r="51" spans="2:12" ht="28.5" customHeight="1">
      <c r="B51" s="148" t="s">
        <v>493</v>
      </c>
      <c r="C51" s="144"/>
      <c r="D51" s="144"/>
      <c r="E51" s="144"/>
      <c r="F51" s="144"/>
      <c r="G51" s="144"/>
      <c r="H51" s="144"/>
      <c r="I51" s="144"/>
      <c r="J51" s="144"/>
      <c r="K51" s="144"/>
      <c r="L51" s="144"/>
    </row>
    <row r="52" spans="2:12">
      <c r="B52" s="41"/>
      <c r="C52" s="41"/>
      <c r="D52" s="41"/>
      <c r="E52" s="41"/>
      <c r="F52" s="41"/>
      <c r="G52" s="41"/>
      <c r="H52" s="41"/>
      <c r="I52" s="41"/>
      <c r="J52" s="41"/>
      <c r="K52" s="41"/>
      <c r="L52" s="41"/>
    </row>
    <row r="53" spans="2:12">
      <c r="B53" s="30" t="s">
        <v>469</v>
      </c>
      <c r="C53" s="41"/>
      <c r="D53" s="47">
        <v>42475</v>
      </c>
      <c r="E53" s="41"/>
      <c r="F53" s="41"/>
      <c r="G53" s="41"/>
      <c r="H53" s="41"/>
      <c r="I53" s="41"/>
      <c r="J53" s="41"/>
      <c r="K53" s="41"/>
      <c r="L53" s="41"/>
    </row>
    <row r="54" spans="2:12" ht="28.5" customHeight="1">
      <c r="B54" s="150" t="s">
        <v>489</v>
      </c>
      <c r="C54" s="150"/>
      <c r="D54" s="150"/>
      <c r="E54" s="150"/>
      <c r="F54" s="150"/>
      <c r="G54" s="150"/>
      <c r="H54" s="150"/>
      <c r="I54" s="150"/>
      <c r="J54" s="150"/>
      <c r="K54" s="150"/>
      <c r="L54" s="150"/>
    </row>
    <row r="55" spans="2:12" ht="28.5" customHeight="1">
      <c r="B55" s="144" t="s">
        <v>490</v>
      </c>
      <c r="C55" s="144"/>
      <c r="D55" s="144"/>
      <c r="E55" s="144"/>
      <c r="F55" s="144"/>
      <c r="G55" s="144"/>
      <c r="H55" s="144"/>
      <c r="I55" s="144"/>
      <c r="J55" s="144"/>
      <c r="K55" s="144"/>
      <c r="L55" s="144"/>
    </row>
    <row r="56" spans="2:12" ht="28.5" customHeight="1">
      <c r="B56" s="144" t="s">
        <v>491</v>
      </c>
      <c r="C56" s="144"/>
      <c r="D56" s="144"/>
      <c r="E56" s="144"/>
      <c r="F56" s="144"/>
      <c r="G56" s="144"/>
      <c r="H56" s="144"/>
      <c r="I56" s="144"/>
      <c r="J56" s="144"/>
      <c r="K56" s="144"/>
      <c r="L56" s="144"/>
    </row>
    <row r="57" spans="2:12" ht="54.75" customHeight="1">
      <c r="B57" s="144" t="s">
        <v>492</v>
      </c>
      <c r="C57" s="144"/>
      <c r="D57" s="144"/>
      <c r="E57" s="144"/>
      <c r="F57" s="144"/>
      <c r="G57" s="144"/>
      <c r="H57" s="144"/>
      <c r="I57" s="144"/>
      <c r="J57" s="144"/>
      <c r="K57" s="144"/>
      <c r="L57" s="41"/>
    </row>
    <row r="58" spans="2:12" ht="28.5" customHeight="1">
      <c r="B58" s="148" t="s">
        <v>493</v>
      </c>
      <c r="C58" s="144"/>
      <c r="D58" s="144"/>
      <c r="E58" s="144"/>
      <c r="F58" s="144"/>
      <c r="G58" s="144"/>
      <c r="H58" s="144"/>
      <c r="I58" s="144"/>
      <c r="J58" s="144"/>
      <c r="K58" s="144"/>
      <c r="L58" s="144"/>
    </row>
    <row r="59" spans="2:12" ht="28.5" customHeight="1">
      <c r="B59" s="148" t="s">
        <v>494</v>
      </c>
      <c r="C59" s="148"/>
      <c r="D59" s="148"/>
      <c r="E59" s="148"/>
      <c r="F59" s="148"/>
      <c r="G59" s="148"/>
      <c r="H59" s="148"/>
      <c r="I59" s="148"/>
      <c r="J59" s="148"/>
      <c r="K59" s="148"/>
      <c r="L59" s="148"/>
    </row>
    <row r="60" spans="2:12">
      <c r="B60" s="43"/>
      <c r="C60" s="43"/>
      <c r="D60" s="43"/>
      <c r="E60" s="43"/>
      <c r="F60" s="43"/>
      <c r="G60" s="43"/>
      <c r="H60" s="43"/>
      <c r="I60" s="43"/>
      <c r="J60" s="43"/>
      <c r="K60" s="43"/>
      <c r="L60" s="43"/>
    </row>
    <row r="61" spans="2:12">
      <c r="B61" s="30" t="s">
        <v>469</v>
      </c>
      <c r="C61" s="41"/>
      <c r="D61" s="47">
        <v>42593</v>
      </c>
    </row>
    <row r="62" spans="2:12" ht="27.75" customHeight="1">
      <c r="B62" s="148" t="s">
        <v>710</v>
      </c>
      <c r="C62" s="148"/>
      <c r="D62" s="148"/>
      <c r="E62" s="148"/>
      <c r="F62" s="148"/>
      <c r="G62" s="148"/>
      <c r="H62" s="148"/>
      <c r="I62" s="148"/>
      <c r="J62" s="148"/>
      <c r="K62" s="148"/>
      <c r="L62" s="148"/>
    </row>
    <row r="63" spans="2:12" ht="17.25" customHeight="1">
      <c r="B63" s="148" t="s">
        <v>495</v>
      </c>
      <c r="C63" s="148"/>
      <c r="D63" s="148"/>
      <c r="E63" s="148"/>
      <c r="F63" s="148"/>
      <c r="G63" s="148"/>
      <c r="H63" s="148"/>
      <c r="I63" s="148"/>
      <c r="J63" s="148"/>
      <c r="K63" s="148"/>
      <c r="L63" s="148"/>
    </row>
    <row r="64" spans="2:12" ht="17.25" customHeight="1">
      <c r="B64" s="37" t="s">
        <v>496</v>
      </c>
      <c r="C64" s="38"/>
      <c r="D64" s="38"/>
      <c r="E64" s="38"/>
      <c r="F64" s="38"/>
      <c r="G64" s="38"/>
      <c r="H64" s="38"/>
      <c r="I64" s="38"/>
      <c r="J64" s="38"/>
      <c r="K64" s="38"/>
      <c r="L64" s="38"/>
    </row>
    <row r="65" spans="2:12" ht="21" customHeight="1">
      <c r="B65" s="148" t="s">
        <v>497</v>
      </c>
      <c r="C65" s="148"/>
      <c r="D65" s="148"/>
      <c r="E65" s="148"/>
      <c r="F65" s="148"/>
      <c r="G65" s="148"/>
      <c r="H65" s="148"/>
      <c r="I65" s="148"/>
      <c r="J65" s="148"/>
      <c r="K65" s="148"/>
      <c r="L65" s="148"/>
    </row>
    <row r="66" spans="2:12" ht="15" customHeight="1">
      <c r="B66" s="148" t="s">
        <v>498</v>
      </c>
      <c r="C66" s="148"/>
      <c r="D66" s="148"/>
      <c r="E66" s="148"/>
      <c r="F66" s="148"/>
      <c r="G66" s="148"/>
      <c r="H66" s="148"/>
      <c r="I66" s="148"/>
      <c r="J66" s="148"/>
      <c r="K66" s="148"/>
      <c r="L66" s="148"/>
    </row>
    <row r="68" spans="2:12">
      <c r="B68" s="30" t="s">
        <v>469</v>
      </c>
      <c r="C68" s="41"/>
      <c r="D68" s="47">
        <v>42692</v>
      </c>
    </row>
    <row r="69" spans="2:12" ht="21.75" customHeight="1">
      <c r="B69" s="148" t="s">
        <v>499</v>
      </c>
      <c r="C69" s="148"/>
      <c r="D69" s="148"/>
      <c r="E69" s="148"/>
      <c r="F69" s="148"/>
      <c r="G69" s="148"/>
      <c r="H69" s="148"/>
      <c r="I69" s="148"/>
      <c r="J69" s="148"/>
      <c r="K69" s="148"/>
      <c r="L69" s="148"/>
    </row>
    <row r="70" spans="2:12">
      <c r="B70" s="148" t="s">
        <v>500</v>
      </c>
      <c r="C70" s="148"/>
      <c r="D70" s="148"/>
      <c r="E70" s="148"/>
      <c r="F70" s="148"/>
      <c r="G70" s="148"/>
      <c r="H70" s="148"/>
      <c r="I70" s="148"/>
      <c r="J70" s="148"/>
      <c r="K70" s="148"/>
      <c r="L70" s="148"/>
    </row>
    <row r="71" spans="2:12">
      <c r="B71" s="37" t="s">
        <v>461</v>
      </c>
      <c r="C71" s="38"/>
      <c r="D71" s="38"/>
      <c r="E71" s="38"/>
      <c r="F71" s="38"/>
      <c r="G71" s="38"/>
      <c r="H71" s="38"/>
      <c r="I71" s="38"/>
      <c r="J71" s="38"/>
      <c r="K71" s="38"/>
      <c r="L71" s="38"/>
    </row>
    <row r="73" spans="2:12">
      <c r="B73" s="30" t="s">
        <v>469</v>
      </c>
      <c r="C73" s="41"/>
      <c r="D73" s="47">
        <v>42793</v>
      </c>
    </row>
    <row r="74" spans="2:12" ht="14.1" customHeight="1">
      <c r="B74" s="144" t="s">
        <v>501</v>
      </c>
      <c r="C74" s="144"/>
      <c r="D74" s="144"/>
      <c r="E74" s="144"/>
      <c r="F74" s="144"/>
      <c r="G74" s="144"/>
      <c r="H74" s="144"/>
      <c r="I74" s="144"/>
      <c r="J74" s="144"/>
      <c r="K74" s="144"/>
      <c r="L74" s="144"/>
    </row>
    <row r="76" spans="2:12">
      <c r="B76" s="30" t="s">
        <v>469</v>
      </c>
      <c r="C76" s="41"/>
      <c r="D76" s="47">
        <v>42891</v>
      </c>
    </row>
    <row r="77" spans="2:12" ht="39.6" customHeight="1">
      <c r="B77" s="144" t="s">
        <v>502</v>
      </c>
      <c r="C77" s="144"/>
      <c r="D77" s="144"/>
      <c r="E77" s="144"/>
      <c r="F77" s="144"/>
      <c r="G77" s="144"/>
      <c r="H77" s="144"/>
      <c r="I77" s="144"/>
      <c r="J77" s="144"/>
      <c r="K77" s="144"/>
      <c r="L77" s="144"/>
    </row>
    <row r="78" spans="2:12" ht="35.450000000000003" customHeight="1">
      <c r="B78" s="148" t="s">
        <v>503</v>
      </c>
      <c r="C78" s="148"/>
      <c r="D78" s="148"/>
      <c r="E78" s="148"/>
      <c r="F78" s="148"/>
      <c r="G78" s="148"/>
      <c r="H78" s="148"/>
      <c r="I78" s="148"/>
      <c r="J78" s="148"/>
      <c r="K78" s="148"/>
      <c r="L78" s="148"/>
    </row>
    <row r="79" spans="2:12" ht="31.15" customHeight="1">
      <c r="B79" s="144" t="s">
        <v>504</v>
      </c>
      <c r="C79" s="144"/>
      <c r="D79" s="144"/>
      <c r="E79" s="144"/>
      <c r="F79" s="144"/>
      <c r="G79" s="144"/>
      <c r="H79" s="144"/>
      <c r="I79" s="144"/>
      <c r="J79" s="144"/>
      <c r="K79" s="144"/>
      <c r="L79" s="144"/>
    </row>
    <row r="80" spans="2:12" ht="33.6" customHeight="1">
      <c r="B80" s="144" t="s">
        <v>505</v>
      </c>
      <c r="C80" s="144"/>
      <c r="D80" s="144"/>
      <c r="E80" s="144"/>
      <c r="F80" s="144"/>
      <c r="G80" s="144"/>
      <c r="H80" s="144"/>
      <c r="I80" s="144"/>
      <c r="J80" s="144"/>
      <c r="K80" s="144"/>
      <c r="L80" s="144"/>
    </row>
    <row r="81" spans="2:12" ht="36.6" customHeight="1">
      <c r="B81" s="144" t="s">
        <v>506</v>
      </c>
      <c r="C81" s="144"/>
      <c r="D81" s="144"/>
      <c r="E81" s="144"/>
      <c r="F81" s="144"/>
      <c r="G81" s="144"/>
      <c r="H81" s="144"/>
      <c r="I81" s="144"/>
      <c r="J81" s="144"/>
      <c r="K81" s="144"/>
      <c r="L81" s="144"/>
    </row>
    <row r="82" spans="2:12" ht="32.450000000000003" customHeight="1">
      <c r="B82" s="144" t="s">
        <v>507</v>
      </c>
      <c r="C82" s="144"/>
      <c r="D82" s="144"/>
      <c r="E82" s="144"/>
      <c r="F82" s="144"/>
      <c r="G82" s="144"/>
      <c r="H82" s="144"/>
      <c r="I82" s="144"/>
      <c r="J82" s="144"/>
      <c r="K82" s="144"/>
      <c r="L82" s="144"/>
    </row>
    <row r="83" spans="2:12" ht="33" customHeight="1">
      <c r="B83" s="144" t="s">
        <v>508</v>
      </c>
      <c r="C83" s="144"/>
      <c r="D83" s="144"/>
      <c r="E83" s="144"/>
      <c r="F83" s="144"/>
      <c r="G83" s="144"/>
      <c r="H83" s="144"/>
      <c r="I83" s="144"/>
      <c r="J83" s="144"/>
      <c r="K83" s="144"/>
      <c r="L83" s="144"/>
    </row>
    <row r="84" spans="2:12" ht="33" customHeight="1">
      <c r="B84" s="148" t="s">
        <v>509</v>
      </c>
      <c r="C84" s="148"/>
      <c r="D84" s="148"/>
      <c r="E84" s="148"/>
      <c r="F84" s="148"/>
      <c r="G84" s="148"/>
      <c r="H84" s="148"/>
      <c r="I84" s="148"/>
      <c r="J84" s="148"/>
      <c r="K84" s="148"/>
      <c r="L84" s="148"/>
    </row>
    <row r="85" spans="2:12" ht="40.15" customHeight="1">
      <c r="B85" s="144" t="s">
        <v>510</v>
      </c>
      <c r="C85" s="144"/>
      <c r="D85" s="144"/>
      <c r="E85" s="144"/>
      <c r="F85" s="144"/>
      <c r="G85" s="144"/>
      <c r="H85" s="144"/>
      <c r="I85" s="144"/>
      <c r="J85" s="144"/>
      <c r="K85" s="144"/>
      <c r="L85" s="144"/>
    </row>
    <row r="87" spans="2:12">
      <c r="B87" s="30" t="s">
        <v>469</v>
      </c>
      <c r="C87" s="41"/>
      <c r="D87" s="47">
        <v>43091</v>
      </c>
    </row>
    <row r="88" spans="2:12">
      <c r="B88" s="25" t="s">
        <v>721</v>
      </c>
      <c r="C88" s="35"/>
      <c r="D88" s="35"/>
      <c r="E88" s="35"/>
      <c r="F88" s="35"/>
      <c r="G88" s="35"/>
      <c r="H88" s="35"/>
      <c r="I88" s="35"/>
      <c r="J88" s="35"/>
      <c r="K88" s="35"/>
      <c r="L88" s="35"/>
    </row>
    <row r="89" spans="2:12">
      <c r="B89" s="25" t="s">
        <v>511</v>
      </c>
      <c r="C89" s="35"/>
      <c r="D89" s="35"/>
      <c r="E89" s="35"/>
      <c r="F89" s="35"/>
      <c r="G89" s="35"/>
      <c r="H89" s="35"/>
      <c r="I89" s="35"/>
      <c r="J89" s="35"/>
    </row>
    <row r="90" spans="2:12">
      <c r="B90" s="25" t="s">
        <v>512</v>
      </c>
      <c r="C90" s="35"/>
      <c r="D90" s="35"/>
      <c r="E90" s="35"/>
      <c r="F90" s="35"/>
      <c r="G90" s="35"/>
      <c r="H90" s="35"/>
      <c r="I90" s="35"/>
      <c r="J90" s="35"/>
    </row>
    <row r="91" spans="2:12">
      <c r="B91" s="25" t="s">
        <v>513</v>
      </c>
      <c r="C91" s="35"/>
      <c r="D91" s="35"/>
      <c r="E91" s="35"/>
      <c r="F91" s="35"/>
      <c r="G91" s="35"/>
      <c r="H91" s="35"/>
      <c r="I91" s="35"/>
      <c r="J91" s="35"/>
    </row>
    <row r="92" spans="2:12">
      <c r="B92" s="25" t="s">
        <v>514</v>
      </c>
      <c r="C92" s="35"/>
      <c r="D92" s="35"/>
      <c r="E92" s="35"/>
      <c r="F92" s="35"/>
      <c r="G92" s="35"/>
      <c r="H92" s="35"/>
      <c r="I92" s="35"/>
      <c r="J92" s="35"/>
    </row>
    <row r="93" spans="2:12">
      <c r="B93" s="25" t="s">
        <v>515</v>
      </c>
      <c r="C93" s="35"/>
      <c r="D93" s="35"/>
      <c r="E93" s="35"/>
      <c r="F93" s="35"/>
      <c r="G93" s="35"/>
      <c r="H93" s="35"/>
      <c r="I93" s="35"/>
      <c r="J93" s="35"/>
    </row>
    <row r="94" spans="2:12">
      <c r="B94" s="25" t="s">
        <v>516</v>
      </c>
      <c r="C94" s="35"/>
      <c r="D94" s="35"/>
      <c r="E94" s="35"/>
      <c r="F94" s="35"/>
      <c r="G94" s="35"/>
      <c r="H94" s="35"/>
      <c r="I94" s="35"/>
      <c r="J94" s="35"/>
    </row>
    <row r="95" spans="2:12">
      <c r="B95" s="25" t="s">
        <v>517</v>
      </c>
      <c r="C95" s="35"/>
      <c r="D95" s="35"/>
      <c r="E95" s="35"/>
      <c r="F95" s="35"/>
      <c r="G95" s="35"/>
      <c r="H95" s="35"/>
      <c r="I95" s="35"/>
      <c r="J95" s="35"/>
    </row>
    <row r="96" spans="2:12">
      <c r="B96" s="25" t="s">
        <v>518</v>
      </c>
      <c r="C96" s="35"/>
      <c r="D96" s="35"/>
      <c r="E96" s="35"/>
      <c r="F96" s="35"/>
      <c r="G96" s="35"/>
      <c r="H96" s="35"/>
      <c r="I96" s="35"/>
      <c r="J96" s="35"/>
    </row>
    <row r="97" spans="2:12">
      <c r="B97" s="25" t="s">
        <v>519</v>
      </c>
      <c r="C97" s="35"/>
      <c r="D97" s="35"/>
      <c r="E97" s="35"/>
      <c r="F97" s="35"/>
      <c r="G97" s="35"/>
      <c r="H97" s="35"/>
      <c r="I97" s="35"/>
      <c r="J97" s="35"/>
      <c r="K97" s="35"/>
      <c r="L97" s="35"/>
    </row>
    <row r="98" spans="2:12">
      <c r="B98" s="25" t="s">
        <v>520</v>
      </c>
      <c r="C98" s="35"/>
      <c r="D98" s="35"/>
      <c r="E98" s="35"/>
      <c r="F98" s="35"/>
      <c r="G98" s="35"/>
      <c r="H98" s="35"/>
      <c r="I98" s="35"/>
      <c r="J98" s="35"/>
    </row>
    <row r="99" spans="2:12">
      <c r="B99" s="25" t="s">
        <v>521</v>
      </c>
      <c r="C99" s="35"/>
      <c r="D99" s="35"/>
      <c r="E99" s="35"/>
      <c r="F99" s="35"/>
      <c r="G99" s="35"/>
      <c r="H99" s="35"/>
      <c r="I99" s="35"/>
      <c r="J99" s="35"/>
    </row>
    <row r="100" spans="2:12">
      <c r="B100" s="25" t="s">
        <v>522</v>
      </c>
      <c r="C100" s="35"/>
      <c r="D100" s="35"/>
      <c r="E100" s="35"/>
      <c r="F100" s="35"/>
      <c r="G100" s="35"/>
      <c r="H100" s="35"/>
      <c r="I100" s="35"/>
      <c r="J100" s="35"/>
    </row>
    <row r="101" spans="2:12">
      <c r="B101" s="25" t="s">
        <v>523</v>
      </c>
      <c r="C101" s="42"/>
      <c r="D101" s="42"/>
      <c r="E101" s="42"/>
      <c r="F101" s="42"/>
      <c r="G101" s="42"/>
      <c r="H101" s="42"/>
      <c r="I101" s="42"/>
      <c r="J101" s="42"/>
      <c r="K101" s="42"/>
      <c r="L101" s="42"/>
    </row>
    <row r="102" spans="2:12">
      <c r="B102" s="25" t="s">
        <v>524</v>
      </c>
      <c r="C102" s="35"/>
      <c r="D102" s="35"/>
      <c r="E102" s="35"/>
      <c r="F102" s="35"/>
      <c r="G102" s="35"/>
      <c r="H102" s="35"/>
      <c r="I102" s="35"/>
      <c r="J102" s="35"/>
    </row>
    <row r="103" spans="2:12">
      <c r="B103" s="25" t="s">
        <v>525</v>
      </c>
    </row>
    <row r="104" spans="2:12">
      <c r="B104" s="25" t="s">
        <v>526</v>
      </c>
    </row>
    <row r="105" spans="2:12">
      <c r="B105" s="25" t="s">
        <v>527</v>
      </c>
    </row>
    <row r="106" spans="2:12">
      <c r="B106" s="25" t="s">
        <v>528</v>
      </c>
    </row>
    <row r="107" spans="2:12">
      <c r="B107" s="25" t="s">
        <v>529</v>
      </c>
    </row>
    <row r="108" spans="2:12">
      <c r="B108" s="25" t="s">
        <v>530</v>
      </c>
    </row>
    <row r="109" spans="2:12">
      <c r="B109" s="25" t="s">
        <v>531</v>
      </c>
    </row>
    <row r="110" spans="2:12">
      <c r="B110" s="25" t="s">
        <v>532</v>
      </c>
    </row>
    <row r="111" spans="2:12">
      <c r="B111" s="25" t="s">
        <v>533</v>
      </c>
    </row>
    <row r="113" spans="2:16" s="84" customFormat="1">
      <c r="B113" s="122" t="s">
        <v>469</v>
      </c>
      <c r="C113" s="121"/>
      <c r="D113" s="123">
        <v>43175</v>
      </c>
    </row>
    <row r="114" spans="2:16" s="84" customFormat="1">
      <c r="B114" s="145" t="s">
        <v>712</v>
      </c>
      <c r="C114" s="145"/>
      <c r="D114" s="145"/>
      <c r="E114" s="145"/>
      <c r="F114" s="145"/>
      <c r="G114" s="145"/>
      <c r="H114" s="145"/>
      <c r="I114" s="145"/>
      <c r="J114" s="145"/>
      <c r="K114" s="145"/>
      <c r="L114" s="145"/>
      <c r="M114" s="145"/>
      <c r="N114" s="145"/>
      <c r="O114" s="145"/>
      <c r="P114" s="145"/>
    </row>
    <row r="115" spans="2:16" s="84" customFormat="1"/>
    <row r="116" spans="2:16" ht="12.75" customHeight="1">
      <c r="B116" s="30" t="s">
        <v>469</v>
      </c>
      <c r="C116" s="41"/>
      <c r="D116" s="47">
        <v>43312</v>
      </c>
    </row>
    <row r="117" spans="2:16">
      <c r="B117" s="145" t="s">
        <v>711</v>
      </c>
      <c r="C117" s="145"/>
      <c r="D117" s="145"/>
      <c r="E117" s="145"/>
      <c r="F117" s="145"/>
      <c r="G117" s="145"/>
      <c r="H117" s="145"/>
      <c r="I117" s="145"/>
      <c r="J117" s="145"/>
      <c r="K117" s="145"/>
      <c r="L117" s="145"/>
      <c r="M117" s="145"/>
      <c r="N117" s="145"/>
      <c r="O117" s="145"/>
      <c r="P117" s="145"/>
    </row>
    <row r="118" spans="2:16" ht="15.6" customHeight="1">
      <c r="B118" s="145" t="s">
        <v>561</v>
      </c>
      <c r="C118" s="145"/>
      <c r="D118" s="145"/>
      <c r="E118" s="145"/>
      <c r="F118" s="145"/>
      <c r="G118" s="145"/>
      <c r="H118" s="145"/>
      <c r="I118" s="145"/>
      <c r="J118" s="145"/>
      <c r="K118" s="145"/>
      <c r="L118" s="145"/>
      <c r="M118" s="145"/>
      <c r="N118" s="145"/>
      <c r="O118" s="145"/>
      <c r="P118" s="145"/>
    </row>
    <row r="119" spans="2:16" ht="15.6" customHeight="1">
      <c r="B119" s="145" t="s">
        <v>652</v>
      </c>
      <c r="C119" s="145"/>
      <c r="D119" s="145"/>
      <c r="E119" s="145"/>
      <c r="F119" s="145"/>
      <c r="G119" s="145"/>
      <c r="H119" s="145"/>
      <c r="I119" s="145"/>
      <c r="J119" s="145"/>
      <c r="K119" s="145"/>
      <c r="L119" s="145"/>
      <c r="M119" s="145"/>
      <c r="N119" s="145"/>
      <c r="O119" s="145"/>
      <c r="P119" s="145"/>
    </row>
    <row r="120" spans="2:16" ht="15.6" customHeight="1">
      <c r="B120" s="145" t="s">
        <v>562</v>
      </c>
      <c r="C120" s="145"/>
      <c r="D120" s="145"/>
      <c r="E120" s="145"/>
      <c r="F120" s="145"/>
      <c r="G120" s="145"/>
      <c r="H120" s="145"/>
      <c r="I120" s="145"/>
      <c r="J120" s="145"/>
      <c r="K120" s="145"/>
      <c r="L120" s="145"/>
      <c r="M120" s="145"/>
      <c r="N120" s="145"/>
      <c r="O120" s="145"/>
      <c r="P120" s="145"/>
    </row>
    <row r="121" spans="2:16" ht="15.6" customHeight="1">
      <c r="B121" s="145" t="s">
        <v>563</v>
      </c>
      <c r="C121" s="145"/>
      <c r="D121" s="145"/>
      <c r="E121" s="145"/>
      <c r="F121" s="145"/>
      <c r="G121" s="145"/>
      <c r="H121" s="145"/>
      <c r="I121" s="145"/>
      <c r="J121" s="145"/>
      <c r="K121" s="145"/>
      <c r="L121" s="145"/>
      <c r="M121" s="145"/>
      <c r="N121" s="145"/>
      <c r="O121" s="145"/>
      <c r="P121" s="145"/>
    </row>
    <row r="122" spans="2:16" ht="15.6" customHeight="1">
      <c r="B122" s="145" t="s">
        <v>706</v>
      </c>
      <c r="C122" s="145"/>
      <c r="D122" s="145"/>
      <c r="E122" s="145"/>
      <c r="F122" s="145"/>
      <c r="G122" s="145"/>
      <c r="H122" s="145"/>
      <c r="I122" s="145"/>
      <c r="J122" s="145"/>
      <c r="K122" s="145"/>
      <c r="L122" s="145"/>
      <c r="M122" s="145"/>
      <c r="N122" s="145"/>
      <c r="O122" s="145"/>
      <c r="P122" s="145"/>
    </row>
    <row r="123" spans="2:16" ht="15.6" customHeight="1">
      <c r="B123" s="145" t="s">
        <v>564</v>
      </c>
      <c r="C123" s="145"/>
      <c r="D123" s="145"/>
      <c r="E123" s="145"/>
      <c r="F123" s="145"/>
      <c r="G123" s="145"/>
      <c r="H123" s="145"/>
      <c r="I123" s="145"/>
      <c r="J123" s="145"/>
      <c r="K123" s="145"/>
      <c r="L123" s="145"/>
      <c r="M123" s="145"/>
      <c r="N123" s="145"/>
      <c r="O123" s="145"/>
      <c r="P123" s="145"/>
    </row>
    <row r="124" spans="2:16" s="84" customFormat="1" ht="12.75" customHeight="1">
      <c r="B124" s="128" t="s">
        <v>469</v>
      </c>
      <c r="C124" s="121"/>
      <c r="D124" s="123">
        <v>43404</v>
      </c>
    </row>
    <row r="125" spans="2:16" s="84" customFormat="1">
      <c r="B125" s="145" t="s">
        <v>729</v>
      </c>
      <c r="C125" s="145"/>
      <c r="D125" s="145"/>
      <c r="E125" s="145"/>
      <c r="F125" s="145"/>
      <c r="G125" s="145"/>
      <c r="H125" s="145"/>
      <c r="I125" s="145"/>
      <c r="J125" s="145"/>
      <c r="K125" s="145"/>
      <c r="L125" s="145"/>
      <c r="M125" s="145"/>
      <c r="N125" s="145"/>
      <c r="O125" s="145"/>
      <c r="P125" s="145"/>
    </row>
    <row r="126" spans="2:16" s="84" customFormat="1">
      <c r="B126" s="134" t="s">
        <v>746</v>
      </c>
      <c r="C126" s="129"/>
      <c r="D126" s="129"/>
      <c r="E126" s="129"/>
      <c r="F126" s="129"/>
      <c r="G126" s="129"/>
      <c r="H126" s="129"/>
      <c r="I126" s="129"/>
      <c r="J126" s="129"/>
      <c r="K126" s="129"/>
      <c r="L126" s="129"/>
      <c r="M126" s="129"/>
      <c r="N126" s="129"/>
      <c r="O126" s="129"/>
      <c r="P126" s="129"/>
    </row>
    <row r="127" spans="2:16">
      <c r="B127" s="134" t="s">
        <v>747</v>
      </c>
      <c r="C127" s="134"/>
      <c r="D127" s="134"/>
      <c r="E127" s="134"/>
      <c r="F127" s="134"/>
      <c r="G127" s="134"/>
      <c r="H127" s="134"/>
      <c r="I127" s="134"/>
      <c r="J127" s="134"/>
      <c r="K127" s="134"/>
      <c r="L127" s="134"/>
      <c r="M127" s="134"/>
      <c r="N127" s="134"/>
      <c r="O127" s="134"/>
      <c r="P127" s="134"/>
    </row>
    <row r="128" spans="2:16" s="84" customFormat="1">
      <c r="B128" s="132" t="s">
        <v>745</v>
      </c>
      <c r="C128" s="134"/>
      <c r="D128" s="134"/>
      <c r="E128" s="134"/>
      <c r="F128" s="134"/>
      <c r="G128" s="134"/>
      <c r="H128" s="134"/>
      <c r="I128" s="134"/>
      <c r="J128" s="134"/>
      <c r="K128" s="134"/>
      <c r="L128" s="134"/>
      <c r="M128" s="134"/>
      <c r="N128" s="134"/>
      <c r="O128" s="134"/>
      <c r="P128" s="134"/>
    </row>
    <row r="129" spans="2:16" s="84" customFormat="1">
      <c r="B129" s="134" t="s">
        <v>749</v>
      </c>
      <c r="C129" s="134"/>
      <c r="D129" s="134"/>
      <c r="E129" s="134"/>
      <c r="F129" s="134"/>
      <c r="G129" s="134"/>
      <c r="H129" s="134"/>
      <c r="I129" s="134"/>
      <c r="J129" s="134"/>
      <c r="K129" s="134"/>
      <c r="L129" s="134"/>
      <c r="M129" s="134"/>
      <c r="N129" s="134"/>
      <c r="O129" s="134"/>
      <c r="P129" s="134"/>
    </row>
    <row r="130" spans="2:16" s="84" customFormat="1"/>
    <row r="131" spans="2:16">
      <c r="B131" s="126" t="s">
        <v>726</v>
      </c>
    </row>
  </sheetData>
  <mergeCells count="55">
    <mergeCell ref="B117:P117"/>
    <mergeCell ref="B118:P118"/>
    <mergeCell ref="B119:P119"/>
    <mergeCell ref="B120:P120"/>
    <mergeCell ref="B69:L69"/>
    <mergeCell ref="B82:L82"/>
    <mergeCell ref="B83:L83"/>
    <mergeCell ref="B84:L84"/>
    <mergeCell ref="B85:L85"/>
    <mergeCell ref="B74:L74"/>
    <mergeCell ref="B77:L77"/>
    <mergeCell ref="B78:L78"/>
    <mergeCell ref="B79:L79"/>
    <mergeCell ref="B80:L80"/>
    <mergeCell ref="B81:L81"/>
    <mergeCell ref="B114:P114"/>
    <mergeCell ref="B28:K28"/>
    <mergeCell ref="B51:L51"/>
    <mergeCell ref="B30:K30"/>
    <mergeCell ref="B33:K33"/>
    <mergeCell ref="B34:K34"/>
    <mergeCell ref="B37:K37"/>
    <mergeCell ref="B40:K40"/>
    <mergeCell ref="B41:K41"/>
    <mergeCell ref="B44:K44"/>
    <mergeCell ref="B47:L47"/>
    <mergeCell ref="B48:L48"/>
    <mergeCell ref="B49:L49"/>
    <mergeCell ref="B50:K50"/>
    <mergeCell ref="B14:K14"/>
    <mergeCell ref="B15:K15"/>
    <mergeCell ref="B16:K16"/>
    <mergeCell ref="B19:K19"/>
    <mergeCell ref="B22:K22"/>
    <mergeCell ref="B5:K5"/>
    <mergeCell ref="B6:K6"/>
    <mergeCell ref="B7:K7"/>
    <mergeCell ref="B10:K10"/>
    <mergeCell ref="B11:K11"/>
    <mergeCell ref="B125:P125"/>
    <mergeCell ref="B121:P121"/>
    <mergeCell ref="B122:P122"/>
    <mergeCell ref="B123:P123"/>
    <mergeCell ref="B29:K29"/>
    <mergeCell ref="B70:L70"/>
    <mergeCell ref="B54:L54"/>
    <mergeCell ref="B55:L55"/>
    <mergeCell ref="B56:L56"/>
    <mergeCell ref="B57:K57"/>
    <mergeCell ref="B58:L58"/>
    <mergeCell ref="B59:L59"/>
    <mergeCell ref="B62:L62"/>
    <mergeCell ref="B63:L63"/>
    <mergeCell ref="B65:L65"/>
    <mergeCell ref="B66:L66"/>
  </mergeCells>
  <pageMargins left="0.7" right="0.7" top="0.75" bottom="0.75" header="0.3" footer="0.3"/>
  <pageSetup paperSize="8" orientation="portrait"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34"/>
  <sheetViews>
    <sheetView workbookViewId="0"/>
  </sheetViews>
  <sheetFormatPr defaultColWidth="9.140625" defaultRowHeight="15"/>
  <cols>
    <col min="1" max="1" width="28.5703125" style="25" bestFit="1" customWidth="1"/>
    <col min="2" max="2" width="78.140625" style="25" bestFit="1" customWidth="1"/>
    <col min="3" max="3" width="35" style="25" bestFit="1" customWidth="1"/>
    <col min="4" max="4" width="21" style="25" bestFit="1" customWidth="1"/>
    <col min="5" max="5" width="16.5703125" style="25" bestFit="1" customWidth="1"/>
    <col min="6" max="6" width="41.5703125" style="25" bestFit="1" customWidth="1"/>
    <col min="7" max="7" width="12" style="25" bestFit="1" customWidth="1"/>
    <col min="8" max="8" width="17.5703125" style="25" bestFit="1" customWidth="1"/>
    <col min="9" max="9" width="6.42578125" style="25" hidden="1" customWidth="1"/>
    <col min="10" max="10" width="26.85546875" style="25" hidden="1" customWidth="1"/>
    <col min="11" max="11" width="15" style="84" hidden="1" customWidth="1"/>
    <col min="12" max="12" width="19.5703125" style="84" customWidth="1"/>
    <col min="13" max="13" width="19.5703125" style="25" customWidth="1"/>
    <col min="14" max="16384" width="9.140625" style="25"/>
  </cols>
  <sheetData>
    <row r="1" spans="1:12" ht="20.25" thickBot="1">
      <c r="A1" s="29" t="s">
        <v>0</v>
      </c>
    </row>
    <row r="2" spans="1:12" ht="15.75" thickBot="1">
      <c r="A2" s="56" t="s">
        <v>1</v>
      </c>
      <c r="B2" s="56" t="s">
        <v>2</v>
      </c>
      <c r="C2" s="56" t="s">
        <v>719</v>
      </c>
      <c r="D2" s="56" t="s">
        <v>131</v>
      </c>
      <c r="E2" s="56" t="s">
        <v>3</v>
      </c>
      <c r="F2" s="56" t="s">
        <v>4</v>
      </c>
      <c r="G2" s="56" t="s">
        <v>5</v>
      </c>
      <c r="H2" s="56" t="s">
        <v>6</v>
      </c>
      <c r="I2" s="1" t="s">
        <v>7</v>
      </c>
      <c r="J2" s="1" t="s">
        <v>237</v>
      </c>
      <c r="K2" s="1" t="s">
        <v>241</v>
      </c>
      <c r="L2" s="25"/>
    </row>
    <row r="3" spans="1:12" ht="15.75" thickBot="1">
      <c r="A3" s="57" t="s">
        <v>17</v>
      </c>
      <c r="B3" s="58" t="s">
        <v>18</v>
      </c>
      <c r="C3" s="59" t="s">
        <v>19</v>
      </c>
      <c r="D3" s="59">
        <v>37</v>
      </c>
      <c r="E3" s="59" t="s">
        <v>15</v>
      </c>
      <c r="F3" s="58" t="s">
        <v>16</v>
      </c>
      <c r="G3" s="59" t="s">
        <v>10</v>
      </c>
      <c r="H3" s="58" t="s">
        <v>11</v>
      </c>
      <c r="I3" s="20" t="s">
        <v>20</v>
      </c>
      <c r="J3" s="16" t="s">
        <v>232</v>
      </c>
      <c r="K3" s="20" t="s">
        <v>15</v>
      </c>
      <c r="L3" s="25"/>
    </row>
    <row r="4" spans="1:12" ht="15.75" thickBot="1">
      <c r="A4" s="60" t="s">
        <v>21</v>
      </c>
      <c r="B4" s="61" t="s">
        <v>22</v>
      </c>
      <c r="C4" s="59" t="s">
        <v>23</v>
      </c>
      <c r="D4" s="62">
        <v>66</v>
      </c>
      <c r="E4" s="62" t="s">
        <v>24</v>
      </c>
      <c r="F4" s="61" t="s">
        <v>25</v>
      </c>
      <c r="G4" s="62" t="s">
        <v>10</v>
      </c>
      <c r="H4" s="61" t="s">
        <v>11</v>
      </c>
      <c r="I4" s="19" t="s">
        <v>20</v>
      </c>
      <c r="J4" s="15" t="s">
        <v>232</v>
      </c>
      <c r="K4" s="19" t="s">
        <v>25</v>
      </c>
      <c r="L4" s="25"/>
    </row>
    <row r="5" spans="1:12" ht="15.75" thickBot="1">
      <c r="A5" s="60" t="s">
        <v>31</v>
      </c>
      <c r="B5" s="61" t="s">
        <v>32</v>
      </c>
      <c r="C5" s="59" t="s">
        <v>33</v>
      </c>
      <c r="D5" s="62">
        <v>504</v>
      </c>
      <c r="E5" s="62" t="s">
        <v>15</v>
      </c>
      <c r="F5" s="61" t="s">
        <v>34</v>
      </c>
      <c r="G5" s="62" t="s">
        <v>10</v>
      </c>
      <c r="H5" s="61" t="s">
        <v>11</v>
      </c>
      <c r="I5" s="19" t="s">
        <v>20</v>
      </c>
      <c r="J5" s="15" t="s">
        <v>232</v>
      </c>
      <c r="K5" s="19" t="s">
        <v>15</v>
      </c>
      <c r="L5" s="25"/>
    </row>
    <row r="6" spans="1:12" ht="15.75" thickBot="1">
      <c r="A6" s="60" t="s">
        <v>35</v>
      </c>
      <c r="B6" s="61" t="s">
        <v>36</v>
      </c>
      <c r="C6" s="59" t="s">
        <v>37</v>
      </c>
      <c r="D6" s="62">
        <v>519</v>
      </c>
      <c r="E6" s="62" t="s">
        <v>15</v>
      </c>
      <c r="F6" s="61" t="s">
        <v>34</v>
      </c>
      <c r="G6" s="62" t="s">
        <v>10</v>
      </c>
      <c r="H6" s="61" t="s">
        <v>11</v>
      </c>
      <c r="I6" s="19" t="s">
        <v>20</v>
      </c>
      <c r="J6" s="15" t="s">
        <v>232</v>
      </c>
      <c r="K6" s="19" t="s">
        <v>15</v>
      </c>
      <c r="L6" s="25"/>
    </row>
    <row r="7" spans="1:12" ht="15.75" thickBot="1">
      <c r="A7" s="60" t="s">
        <v>41</v>
      </c>
      <c r="B7" s="61" t="s">
        <v>42</v>
      </c>
      <c r="C7" s="59" t="s">
        <v>43</v>
      </c>
      <c r="D7" s="62">
        <v>700</v>
      </c>
      <c r="E7" s="62" t="s">
        <v>28</v>
      </c>
      <c r="F7" s="61" t="s">
        <v>29</v>
      </c>
      <c r="G7" s="62" t="s">
        <v>10</v>
      </c>
      <c r="H7" s="61" t="s">
        <v>11</v>
      </c>
      <c r="I7" s="19" t="s">
        <v>20</v>
      </c>
      <c r="J7" s="15" t="s">
        <v>232</v>
      </c>
      <c r="K7" s="19" t="s">
        <v>227</v>
      </c>
      <c r="L7" s="25"/>
    </row>
    <row r="8" spans="1:12" ht="15.75" thickBot="1">
      <c r="A8" s="60" t="s">
        <v>44</v>
      </c>
      <c r="B8" s="61" t="s">
        <v>45</v>
      </c>
      <c r="C8" s="59" t="s">
        <v>46</v>
      </c>
      <c r="D8" s="62">
        <v>900</v>
      </c>
      <c r="E8" s="62" t="s">
        <v>47</v>
      </c>
      <c r="F8" s="61" t="s">
        <v>29</v>
      </c>
      <c r="G8" s="62" t="s">
        <v>10</v>
      </c>
      <c r="H8" s="61" t="s">
        <v>11</v>
      </c>
      <c r="I8" s="19" t="s">
        <v>20</v>
      </c>
      <c r="J8" s="15" t="s">
        <v>232</v>
      </c>
      <c r="K8" s="19" t="s">
        <v>227</v>
      </c>
      <c r="L8" s="25"/>
    </row>
    <row r="9" spans="1:12" ht="15.75" thickBot="1">
      <c r="A9" s="60" t="s">
        <v>48</v>
      </c>
      <c r="B9" s="61" t="s">
        <v>49</v>
      </c>
      <c r="C9" s="59" t="s">
        <v>50</v>
      </c>
      <c r="D9" s="62">
        <v>100</v>
      </c>
      <c r="E9" s="62" t="s">
        <v>51</v>
      </c>
      <c r="F9" s="61" t="s">
        <v>40</v>
      </c>
      <c r="G9" s="62" t="s">
        <v>14</v>
      </c>
      <c r="H9" s="61" t="s">
        <v>11</v>
      </c>
      <c r="I9" s="19" t="s">
        <v>20</v>
      </c>
      <c r="J9" s="15" t="s">
        <v>232</v>
      </c>
      <c r="K9" s="19" t="s">
        <v>40</v>
      </c>
      <c r="L9" s="25"/>
    </row>
    <row r="10" spans="1:12" ht="23.25" thickBot="1">
      <c r="A10" s="60" t="s">
        <v>52</v>
      </c>
      <c r="B10" s="61" t="s">
        <v>53</v>
      </c>
      <c r="C10" s="59" t="s">
        <v>54</v>
      </c>
      <c r="D10" s="62">
        <v>144</v>
      </c>
      <c r="E10" s="62" t="s">
        <v>55</v>
      </c>
      <c r="F10" s="61" t="s">
        <v>34</v>
      </c>
      <c r="G10" s="62" t="s">
        <v>10</v>
      </c>
      <c r="H10" s="61" t="s">
        <v>11</v>
      </c>
      <c r="I10" s="19" t="s">
        <v>20</v>
      </c>
      <c r="J10" s="15" t="s">
        <v>232</v>
      </c>
      <c r="K10" s="19" t="s">
        <v>55</v>
      </c>
      <c r="L10" s="25"/>
    </row>
    <row r="11" spans="1:12" ht="23.25" thickBot="1">
      <c r="A11" s="60" t="s">
        <v>56</v>
      </c>
      <c r="B11" s="61" t="s">
        <v>57</v>
      </c>
      <c r="C11" s="59" t="s">
        <v>58</v>
      </c>
      <c r="D11" s="62">
        <v>644.5</v>
      </c>
      <c r="E11" s="62" t="s">
        <v>55</v>
      </c>
      <c r="F11" s="61" t="s">
        <v>34</v>
      </c>
      <c r="G11" s="62" t="s">
        <v>10</v>
      </c>
      <c r="H11" s="61" t="s">
        <v>11</v>
      </c>
      <c r="I11" s="19" t="s">
        <v>20</v>
      </c>
      <c r="J11" s="15" t="s">
        <v>232</v>
      </c>
      <c r="K11" s="19" t="s">
        <v>55</v>
      </c>
      <c r="L11" s="25"/>
    </row>
    <row r="12" spans="1:12" ht="15.75" thickBot="1">
      <c r="A12" s="60" t="s">
        <v>107</v>
      </c>
      <c r="B12" s="61" t="s">
        <v>297</v>
      </c>
      <c r="C12" s="59" t="s">
        <v>730</v>
      </c>
      <c r="D12" s="62">
        <v>108.5</v>
      </c>
      <c r="E12" s="62" t="s">
        <v>39</v>
      </c>
      <c r="F12" s="61" t="s">
        <v>40</v>
      </c>
      <c r="G12" s="62" t="s">
        <v>14</v>
      </c>
      <c r="H12" s="61" t="s">
        <v>769</v>
      </c>
      <c r="I12" s="19" t="s">
        <v>20</v>
      </c>
      <c r="J12" s="15" t="s">
        <v>232</v>
      </c>
      <c r="K12" s="19" t="s">
        <v>40</v>
      </c>
      <c r="L12" s="25"/>
    </row>
    <row r="13" spans="1:12" ht="15.75" thickBot="1">
      <c r="A13" s="60" t="s">
        <v>59</v>
      </c>
      <c r="B13" s="61" t="s">
        <v>60</v>
      </c>
      <c r="C13" s="59" t="s">
        <v>61</v>
      </c>
      <c r="D13" s="62">
        <v>1680</v>
      </c>
      <c r="E13" s="62" t="s">
        <v>28</v>
      </c>
      <c r="F13" s="61" t="s">
        <v>29</v>
      </c>
      <c r="G13" s="62" t="s">
        <v>10</v>
      </c>
      <c r="H13" s="61" t="s">
        <v>11</v>
      </c>
      <c r="I13" s="19" t="s">
        <v>20</v>
      </c>
      <c r="J13" s="15" t="s">
        <v>232</v>
      </c>
      <c r="K13" s="19" t="s">
        <v>227</v>
      </c>
      <c r="L13" s="25"/>
    </row>
    <row r="14" spans="1:12" ht="15.75" thickBot="1">
      <c r="A14" s="60" t="s">
        <v>352</v>
      </c>
      <c r="B14" s="61" t="s">
        <v>353</v>
      </c>
      <c r="C14" s="59" t="s">
        <v>744</v>
      </c>
      <c r="D14" s="62">
        <v>57.5</v>
      </c>
      <c r="E14" s="62" t="s">
        <v>39</v>
      </c>
      <c r="F14" s="61" t="s">
        <v>40</v>
      </c>
      <c r="G14" s="62" t="s">
        <v>14</v>
      </c>
      <c r="H14" s="61" t="s">
        <v>769</v>
      </c>
      <c r="I14" s="19" t="s">
        <v>20</v>
      </c>
      <c r="J14" s="15" t="s">
        <v>232</v>
      </c>
      <c r="K14" s="19" t="s">
        <v>40</v>
      </c>
      <c r="L14" s="25"/>
    </row>
    <row r="15" spans="1:12" ht="15.75" thickBot="1">
      <c r="A15" s="60" t="s">
        <v>63</v>
      </c>
      <c r="B15" s="61" t="s">
        <v>22</v>
      </c>
      <c r="C15" s="59" t="s">
        <v>64</v>
      </c>
      <c r="D15" s="62">
        <v>86.4</v>
      </c>
      <c r="E15" s="62" t="s">
        <v>24</v>
      </c>
      <c r="F15" s="61" t="s">
        <v>25</v>
      </c>
      <c r="G15" s="62" t="s">
        <v>10</v>
      </c>
      <c r="H15" s="61" t="s">
        <v>11</v>
      </c>
      <c r="I15" s="19" t="s">
        <v>20</v>
      </c>
      <c r="J15" s="15" t="s">
        <v>232</v>
      </c>
      <c r="K15" s="19" t="s">
        <v>25</v>
      </c>
      <c r="L15" s="25"/>
    </row>
    <row r="16" spans="1:12" ht="15.75" thickBot="1">
      <c r="A16" s="60" t="s">
        <v>65</v>
      </c>
      <c r="B16" s="61" t="s">
        <v>66</v>
      </c>
      <c r="C16" s="59" t="s">
        <v>67</v>
      </c>
      <c r="D16" s="62">
        <v>50</v>
      </c>
      <c r="E16" s="62" t="s">
        <v>39</v>
      </c>
      <c r="F16" s="61" t="s">
        <v>40</v>
      </c>
      <c r="G16" s="62" t="s">
        <v>14</v>
      </c>
      <c r="H16" s="61" t="s">
        <v>11</v>
      </c>
      <c r="I16" s="19" t="s">
        <v>20</v>
      </c>
      <c r="J16" s="15" t="s">
        <v>232</v>
      </c>
      <c r="K16" s="19" t="s">
        <v>40</v>
      </c>
      <c r="L16" s="25"/>
    </row>
    <row r="17" spans="1:12" ht="15.75" thickBot="1">
      <c r="A17" s="60" t="s">
        <v>68</v>
      </c>
      <c r="B17" s="61" t="s">
        <v>42</v>
      </c>
      <c r="C17" s="59" t="s">
        <v>69</v>
      </c>
      <c r="D17" s="62">
        <v>744</v>
      </c>
      <c r="E17" s="62" t="s">
        <v>47</v>
      </c>
      <c r="F17" s="61" t="s">
        <v>29</v>
      </c>
      <c r="G17" s="62" t="s">
        <v>10</v>
      </c>
      <c r="H17" s="61" t="s">
        <v>11</v>
      </c>
      <c r="I17" s="19" t="s">
        <v>20</v>
      </c>
      <c r="J17" s="15" t="s">
        <v>232</v>
      </c>
      <c r="K17" s="19" t="s">
        <v>227</v>
      </c>
      <c r="L17" s="25"/>
    </row>
    <row r="18" spans="1:12" ht="15.75" thickBot="1">
      <c r="A18" s="60" t="s">
        <v>72</v>
      </c>
      <c r="B18" s="61" t="s">
        <v>22</v>
      </c>
      <c r="C18" s="59" t="s">
        <v>73</v>
      </c>
      <c r="D18" s="62">
        <v>34</v>
      </c>
      <c r="E18" s="62" t="s">
        <v>15</v>
      </c>
      <c r="F18" s="61" t="s">
        <v>9</v>
      </c>
      <c r="G18" s="62" t="s">
        <v>10</v>
      </c>
      <c r="H18" s="61" t="s">
        <v>71</v>
      </c>
      <c r="I18" s="19" t="s">
        <v>20</v>
      </c>
      <c r="J18" s="15" t="s">
        <v>71</v>
      </c>
      <c r="K18" s="19" t="s">
        <v>15</v>
      </c>
      <c r="L18" s="25"/>
    </row>
    <row r="19" spans="1:12" ht="15.75" thickBot="1">
      <c r="A19" s="60" t="s">
        <v>74</v>
      </c>
      <c r="B19" s="61" t="s">
        <v>75</v>
      </c>
      <c r="C19" s="59" t="s">
        <v>76</v>
      </c>
      <c r="D19" s="62">
        <v>852</v>
      </c>
      <c r="E19" s="62" t="s">
        <v>47</v>
      </c>
      <c r="F19" s="61" t="s">
        <v>29</v>
      </c>
      <c r="G19" s="62" t="s">
        <v>10</v>
      </c>
      <c r="H19" s="61" t="s">
        <v>11</v>
      </c>
      <c r="I19" s="19" t="s">
        <v>20</v>
      </c>
      <c r="J19" s="15" t="s">
        <v>232</v>
      </c>
      <c r="K19" s="19" t="s">
        <v>227</v>
      </c>
      <c r="L19" s="25"/>
    </row>
    <row r="20" spans="1:12" ht="23.25" thickBot="1">
      <c r="A20" s="60" t="s">
        <v>77</v>
      </c>
      <c r="B20" s="61" t="s">
        <v>78</v>
      </c>
      <c r="C20" s="59" t="s">
        <v>750</v>
      </c>
      <c r="D20" s="62">
        <v>423.5</v>
      </c>
      <c r="E20" s="62" t="s">
        <v>15</v>
      </c>
      <c r="F20" s="61" t="s">
        <v>713</v>
      </c>
      <c r="G20" s="62" t="s">
        <v>10</v>
      </c>
      <c r="H20" s="61" t="s">
        <v>11</v>
      </c>
      <c r="I20" s="19" t="s">
        <v>20</v>
      </c>
      <c r="J20" s="15" t="s">
        <v>232</v>
      </c>
      <c r="K20" s="19" t="s">
        <v>15</v>
      </c>
      <c r="L20" s="25"/>
    </row>
    <row r="21" spans="1:12" ht="15.75" thickBot="1">
      <c r="A21" s="60" t="s">
        <v>79</v>
      </c>
      <c r="B21" s="61" t="s">
        <v>80</v>
      </c>
      <c r="C21" s="59" t="s">
        <v>81</v>
      </c>
      <c r="D21" s="62">
        <v>282</v>
      </c>
      <c r="E21" s="62" t="s">
        <v>15</v>
      </c>
      <c r="F21" s="61" t="s">
        <v>16</v>
      </c>
      <c r="G21" s="62" t="s">
        <v>10</v>
      </c>
      <c r="H21" s="61" t="s">
        <v>11</v>
      </c>
      <c r="I21" s="19" t="s">
        <v>20</v>
      </c>
      <c r="J21" s="15" t="s">
        <v>232</v>
      </c>
      <c r="K21" s="19" t="s">
        <v>15</v>
      </c>
      <c r="L21" s="25"/>
    </row>
    <row r="22" spans="1:12" ht="15.75" thickBot="1">
      <c r="A22" s="60" t="s">
        <v>82</v>
      </c>
      <c r="B22" s="61" t="s">
        <v>57</v>
      </c>
      <c r="C22" s="59" t="s">
        <v>70</v>
      </c>
      <c r="D22" s="62">
        <v>80</v>
      </c>
      <c r="E22" s="62" t="s">
        <v>15</v>
      </c>
      <c r="F22" s="61" t="s">
        <v>16</v>
      </c>
      <c r="G22" s="62" t="s">
        <v>10</v>
      </c>
      <c r="H22" s="61" t="s">
        <v>11</v>
      </c>
      <c r="I22" s="19" t="s">
        <v>20</v>
      </c>
      <c r="J22" s="15" t="s">
        <v>232</v>
      </c>
      <c r="K22" s="19" t="s">
        <v>15</v>
      </c>
      <c r="L22" s="25"/>
    </row>
    <row r="23" spans="1:12" ht="15.75" thickBot="1">
      <c r="A23" s="60" t="s">
        <v>125</v>
      </c>
      <c r="B23" s="61" t="s">
        <v>418</v>
      </c>
      <c r="C23" s="59" t="s">
        <v>751</v>
      </c>
      <c r="D23" s="62">
        <v>128</v>
      </c>
      <c r="E23" s="62" t="s">
        <v>51</v>
      </c>
      <c r="F23" s="61" t="s">
        <v>40</v>
      </c>
      <c r="G23" s="62" t="s">
        <v>14</v>
      </c>
      <c r="H23" s="61" t="s">
        <v>769</v>
      </c>
      <c r="I23" s="19" t="s">
        <v>20</v>
      </c>
      <c r="J23" s="15" t="s">
        <v>232</v>
      </c>
      <c r="K23" s="19" t="s">
        <v>40</v>
      </c>
      <c r="L23" s="25"/>
    </row>
    <row r="24" spans="1:12" ht="15.75" thickBot="1">
      <c r="A24" s="60" t="s">
        <v>83</v>
      </c>
      <c r="B24" s="61" t="s">
        <v>22</v>
      </c>
      <c r="C24" s="59" t="s">
        <v>84</v>
      </c>
      <c r="D24" s="62">
        <v>1460</v>
      </c>
      <c r="E24" s="62" t="s">
        <v>28</v>
      </c>
      <c r="F24" s="61" t="s">
        <v>29</v>
      </c>
      <c r="G24" s="62" t="s">
        <v>10</v>
      </c>
      <c r="H24" s="61" t="s">
        <v>11</v>
      </c>
      <c r="I24" s="19" t="s">
        <v>20</v>
      </c>
      <c r="J24" s="15" t="s">
        <v>232</v>
      </c>
      <c r="K24" s="19" t="s">
        <v>227</v>
      </c>
      <c r="L24" s="25"/>
    </row>
    <row r="25" spans="1:12" ht="15.75" thickBot="1">
      <c r="A25" s="60" t="s">
        <v>196</v>
      </c>
      <c r="B25" s="61" t="s">
        <v>197</v>
      </c>
      <c r="C25" s="59" t="s">
        <v>647</v>
      </c>
      <c r="D25" s="62">
        <v>124</v>
      </c>
      <c r="E25" s="62" t="s">
        <v>39</v>
      </c>
      <c r="F25" s="61" t="s">
        <v>40</v>
      </c>
      <c r="G25" s="62" t="s">
        <v>14</v>
      </c>
      <c r="H25" s="61" t="s">
        <v>11</v>
      </c>
      <c r="I25" s="19" t="s">
        <v>20</v>
      </c>
      <c r="J25" s="15" t="s">
        <v>232</v>
      </c>
      <c r="K25" s="19" t="s">
        <v>40</v>
      </c>
      <c r="L25" s="25"/>
    </row>
    <row r="26" spans="1:12" ht="15.75" thickBot="1">
      <c r="A26" s="60" t="s">
        <v>85</v>
      </c>
      <c r="B26" s="61" t="s">
        <v>22</v>
      </c>
      <c r="C26" s="59" t="s">
        <v>86</v>
      </c>
      <c r="D26" s="62">
        <v>385</v>
      </c>
      <c r="E26" s="62" t="s">
        <v>55</v>
      </c>
      <c r="F26" s="61" t="s">
        <v>34</v>
      </c>
      <c r="G26" s="62" t="s">
        <v>10</v>
      </c>
      <c r="H26" s="61" t="s">
        <v>11</v>
      </c>
      <c r="I26" s="19" t="s">
        <v>20</v>
      </c>
      <c r="J26" s="15" t="s">
        <v>232</v>
      </c>
      <c r="K26" s="19" t="s">
        <v>55</v>
      </c>
      <c r="L26" s="25"/>
    </row>
    <row r="27" spans="1:12" ht="15.75" thickBot="1">
      <c r="A27" s="60" t="s">
        <v>88</v>
      </c>
      <c r="B27" s="61" t="s">
        <v>22</v>
      </c>
      <c r="C27" s="59" t="s">
        <v>89</v>
      </c>
      <c r="D27" s="62">
        <v>1400</v>
      </c>
      <c r="E27" s="62" t="s">
        <v>28</v>
      </c>
      <c r="F27" s="61" t="s">
        <v>29</v>
      </c>
      <c r="G27" s="62" t="s">
        <v>10</v>
      </c>
      <c r="H27" s="61" t="s">
        <v>11</v>
      </c>
      <c r="I27" s="19" t="s">
        <v>20</v>
      </c>
      <c r="J27" s="15" t="s">
        <v>232</v>
      </c>
      <c r="K27" s="19" t="s">
        <v>227</v>
      </c>
      <c r="L27" s="25"/>
    </row>
    <row r="28" spans="1:12" ht="15.75" thickBot="1">
      <c r="A28" s="60" t="s">
        <v>90</v>
      </c>
      <c r="B28" s="61" t="s">
        <v>22</v>
      </c>
      <c r="C28" s="131" t="s">
        <v>91</v>
      </c>
      <c r="D28" s="62">
        <v>450</v>
      </c>
      <c r="E28" s="62" t="s">
        <v>47</v>
      </c>
      <c r="F28" s="61" t="s">
        <v>29</v>
      </c>
      <c r="G28" s="62" t="s">
        <v>10</v>
      </c>
      <c r="H28" s="61" t="s">
        <v>11</v>
      </c>
      <c r="I28" s="19" t="s">
        <v>20</v>
      </c>
      <c r="J28" s="15" t="s">
        <v>232</v>
      </c>
      <c r="K28" s="19" t="s">
        <v>227</v>
      </c>
    </row>
    <row r="29" spans="1:12" ht="23.25" thickBot="1">
      <c r="A29" s="60" t="s">
        <v>92</v>
      </c>
      <c r="B29" s="61" t="s">
        <v>93</v>
      </c>
      <c r="C29" s="131" t="s">
        <v>752</v>
      </c>
      <c r="D29" s="62">
        <v>242</v>
      </c>
      <c r="E29" s="62" t="s">
        <v>55</v>
      </c>
      <c r="F29" s="61" t="s">
        <v>34</v>
      </c>
      <c r="G29" s="62" t="s">
        <v>10</v>
      </c>
      <c r="H29" s="61" t="s">
        <v>11</v>
      </c>
      <c r="I29" s="19" t="s">
        <v>20</v>
      </c>
      <c r="J29" s="15" t="s">
        <v>232</v>
      </c>
      <c r="K29" s="19" t="s">
        <v>55</v>
      </c>
    </row>
    <row r="30" spans="1:12" ht="15.75" thickBot="1">
      <c r="A30" s="60" t="s">
        <v>94</v>
      </c>
      <c r="B30" s="61" t="s">
        <v>42</v>
      </c>
      <c r="C30" s="131" t="s">
        <v>95</v>
      </c>
      <c r="D30" s="62">
        <v>570</v>
      </c>
      <c r="E30" s="62" t="s">
        <v>62</v>
      </c>
      <c r="F30" s="61" t="s">
        <v>25</v>
      </c>
      <c r="G30" s="62" t="s">
        <v>10</v>
      </c>
      <c r="H30" s="61" t="s">
        <v>11</v>
      </c>
      <c r="I30" s="19" t="s">
        <v>20</v>
      </c>
      <c r="J30" s="15" t="s">
        <v>232</v>
      </c>
      <c r="K30" s="19" t="s">
        <v>25</v>
      </c>
    </row>
    <row r="31" spans="1:12" ht="15.75" thickBot="1"/>
    <row r="32" spans="1:12" ht="15.75" thickBot="1">
      <c r="A32" s="54" t="s">
        <v>96</v>
      </c>
      <c r="B32" s="101"/>
      <c r="C32" s="102"/>
      <c r="D32" s="55">
        <f>SUM(existingstable[Nameplate Capacity (MW)])</f>
        <v>12771.4</v>
      </c>
      <c r="E32" s="102"/>
      <c r="F32" s="101"/>
      <c r="G32" s="102"/>
      <c r="H32" s="101"/>
    </row>
    <row r="34" spans="1:10" ht="26.25" customHeight="1">
      <c r="A34" s="153" t="s">
        <v>772</v>
      </c>
      <c r="B34" s="154"/>
      <c r="C34" s="154"/>
      <c r="D34" s="154"/>
      <c r="E34" s="154"/>
      <c r="F34" s="154"/>
      <c r="G34" s="154"/>
      <c r="H34" s="154"/>
      <c r="I34" s="154"/>
      <c r="J34" s="154"/>
    </row>
  </sheetData>
  <mergeCells count="1">
    <mergeCell ref="A34:J34"/>
  </mergeCells>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19"/>
  <sheetViews>
    <sheetView workbookViewId="0"/>
  </sheetViews>
  <sheetFormatPr defaultColWidth="9.140625" defaultRowHeight="15"/>
  <cols>
    <col min="1" max="1" width="30.5703125" style="25" bestFit="1" customWidth="1"/>
    <col min="2" max="11" width="10.7109375" style="25" bestFit="1" customWidth="1"/>
    <col min="12" max="12" width="16.140625" style="25" bestFit="1" customWidth="1"/>
    <col min="13" max="13" width="12.7109375" style="25" hidden="1" customWidth="1"/>
    <col min="14" max="14" width="11" style="25" hidden="1" customWidth="1"/>
    <col min="15" max="15" width="11.42578125" style="25" hidden="1" customWidth="1"/>
    <col min="16" max="16384" width="9.140625" style="25"/>
  </cols>
  <sheetData>
    <row r="1" spans="1:15" ht="20.25" thickBot="1">
      <c r="A1" s="29" t="s">
        <v>583</v>
      </c>
    </row>
    <row r="2" spans="1:15" ht="15.75" thickBot="1">
      <c r="A2" s="125" t="s">
        <v>584</v>
      </c>
      <c r="B2" s="125" t="s">
        <v>731</v>
      </c>
      <c r="C2" s="125" t="s">
        <v>732</v>
      </c>
      <c r="D2" s="125" t="s">
        <v>733</v>
      </c>
      <c r="E2" s="125" t="s">
        <v>734</v>
      </c>
      <c r="F2" s="125" t="s">
        <v>735</v>
      </c>
      <c r="G2" s="125" t="s">
        <v>736</v>
      </c>
      <c r="H2" s="125" t="s">
        <v>737</v>
      </c>
      <c r="I2" s="125" t="s">
        <v>738</v>
      </c>
      <c r="J2" s="125" t="s">
        <v>739</v>
      </c>
      <c r="K2" s="125" t="s">
        <v>740</v>
      </c>
      <c r="L2" s="125" t="s">
        <v>683</v>
      </c>
      <c r="M2" s="56" t="s">
        <v>585</v>
      </c>
      <c r="N2" s="56" t="s">
        <v>7</v>
      </c>
      <c r="O2" s="56" t="s">
        <v>586</v>
      </c>
    </row>
    <row r="3" spans="1:15" ht="15.75" thickBot="1">
      <c r="A3" s="18" t="s">
        <v>17</v>
      </c>
      <c r="B3" s="88">
        <v>34</v>
      </c>
      <c r="C3" s="89">
        <v>34</v>
      </c>
      <c r="D3" s="88">
        <v>34</v>
      </c>
      <c r="E3" s="89">
        <v>34</v>
      </c>
      <c r="F3" s="88">
        <v>34</v>
      </c>
      <c r="G3" s="89">
        <v>34</v>
      </c>
      <c r="H3" s="88">
        <v>34</v>
      </c>
      <c r="I3" s="89">
        <v>34</v>
      </c>
      <c r="J3" s="88">
        <v>34</v>
      </c>
      <c r="K3" s="89">
        <v>34</v>
      </c>
      <c r="L3" s="76" t="s">
        <v>10</v>
      </c>
      <c r="M3" s="22" t="s">
        <v>587</v>
      </c>
      <c r="N3" s="76" t="s">
        <v>20</v>
      </c>
      <c r="O3" s="22" t="s">
        <v>588</v>
      </c>
    </row>
    <row r="4" spans="1:15" ht="15.75" thickBot="1">
      <c r="A4" s="17" t="s">
        <v>21</v>
      </c>
      <c r="B4" s="90">
        <v>66</v>
      </c>
      <c r="C4" s="91">
        <v>66</v>
      </c>
      <c r="D4" s="90">
        <v>66</v>
      </c>
      <c r="E4" s="91">
        <v>66</v>
      </c>
      <c r="F4" s="90">
        <v>66</v>
      </c>
      <c r="G4" s="91">
        <v>66</v>
      </c>
      <c r="H4" s="90">
        <v>66</v>
      </c>
      <c r="I4" s="91">
        <v>66</v>
      </c>
      <c r="J4" s="90">
        <v>66</v>
      </c>
      <c r="K4" s="91">
        <v>66</v>
      </c>
      <c r="L4" s="75" t="s">
        <v>10</v>
      </c>
      <c r="M4" s="21" t="s">
        <v>589</v>
      </c>
      <c r="N4" s="75" t="s">
        <v>20</v>
      </c>
      <c r="O4" s="21" t="s">
        <v>588</v>
      </c>
    </row>
    <row r="5" spans="1:15" ht="15.75" thickBot="1">
      <c r="A5" s="17" t="s">
        <v>31</v>
      </c>
      <c r="B5" s="90">
        <v>491</v>
      </c>
      <c r="C5" s="91">
        <v>491</v>
      </c>
      <c r="D5" s="90">
        <v>491</v>
      </c>
      <c r="E5" s="91">
        <v>491</v>
      </c>
      <c r="F5" s="90">
        <v>501</v>
      </c>
      <c r="G5" s="91">
        <v>501</v>
      </c>
      <c r="H5" s="90">
        <v>501</v>
      </c>
      <c r="I5" s="91">
        <v>501</v>
      </c>
      <c r="J5" s="90">
        <v>501</v>
      </c>
      <c r="K5" s="91">
        <v>501</v>
      </c>
      <c r="L5" s="75" t="s">
        <v>10</v>
      </c>
      <c r="M5" s="21" t="s">
        <v>587</v>
      </c>
      <c r="N5" s="75" t="s">
        <v>20</v>
      </c>
      <c r="O5" s="21" t="s">
        <v>588</v>
      </c>
    </row>
    <row r="6" spans="1:15" ht="15.75" thickBot="1">
      <c r="A6" s="17" t="s">
        <v>35</v>
      </c>
      <c r="B6" s="90">
        <v>495</v>
      </c>
      <c r="C6" s="91">
        <v>495</v>
      </c>
      <c r="D6" s="90">
        <v>495</v>
      </c>
      <c r="E6" s="91">
        <v>495</v>
      </c>
      <c r="F6" s="90">
        <v>495</v>
      </c>
      <c r="G6" s="91">
        <v>495</v>
      </c>
      <c r="H6" s="90">
        <v>495</v>
      </c>
      <c r="I6" s="91">
        <v>495</v>
      </c>
      <c r="J6" s="90">
        <v>495</v>
      </c>
      <c r="K6" s="91">
        <v>495</v>
      </c>
      <c r="L6" s="75" t="s">
        <v>10</v>
      </c>
      <c r="M6" s="21" t="s">
        <v>587</v>
      </c>
      <c r="N6" s="75" t="s">
        <v>20</v>
      </c>
      <c r="O6" s="21" t="s">
        <v>588</v>
      </c>
    </row>
    <row r="7" spans="1:15" ht="15.75" thickBot="1">
      <c r="A7" s="17" t="s">
        <v>41</v>
      </c>
      <c r="B7" s="90">
        <v>620</v>
      </c>
      <c r="C7" s="91">
        <v>700</v>
      </c>
      <c r="D7" s="90">
        <v>700</v>
      </c>
      <c r="E7" s="91">
        <v>700</v>
      </c>
      <c r="F7" s="90">
        <v>700</v>
      </c>
      <c r="G7" s="91">
        <v>700</v>
      </c>
      <c r="H7" s="90">
        <v>700</v>
      </c>
      <c r="I7" s="91">
        <v>700</v>
      </c>
      <c r="J7" s="90">
        <v>700</v>
      </c>
      <c r="K7" s="91">
        <v>700</v>
      </c>
      <c r="L7" s="75" t="s">
        <v>10</v>
      </c>
      <c r="M7" s="21" t="s">
        <v>587</v>
      </c>
      <c r="N7" s="75" t="s">
        <v>20</v>
      </c>
      <c r="O7" s="21" t="s">
        <v>588</v>
      </c>
    </row>
    <row r="8" spans="1:15" ht="15.75" thickBot="1">
      <c r="A8" s="17" t="s">
        <v>44</v>
      </c>
      <c r="B8" s="90">
        <v>840</v>
      </c>
      <c r="C8" s="91">
        <v>840</v>
      </c>
      <c r="D8" s="90">
        <v>840</v>
      </c>
      <c r="E8" s="91">
        <v>840</v>
      </c>
      <c r="F8" s="90">
        <v>840</v>
      </c>
      <c r="G8" s="91">
        <v>840</v>
      </c>
      <c r="H8" s="90">
        <v>840</v>
      </c>
      <c r="I8" s="91">
        <v>840</v>
      </c>
      <c r="J8" s="90">
        <v>840</v>
      </c>
      <c r="K8" s="91">
        <v>840</v>
      </c>
      <c r="L8" s="75" t="s">
        <v>10</v>
      </c>
      <c r="M8" s="21" t="s">
        <v>587</v>
      </c>
      <c r="N8" s="75" t="s">
        <v>20</v>
      </c>
      <c r="O8" s="21" t="s">
        <v>588</v>
      </c>
    </row>
    <row r="9" spans="1:15" ht="15.75" thickBot="1">
      <c r="A9" s="17" t="s">
        <v>303</v>
      </c>
      <c r="B9" s="90">
        <v>56</v>
      </c>
      <c r="C9" s="91">
        <v>56</v>
      </c>
      <c r="D9" s="90">
        <v>56</v>
      </c>
      <c r="E9" s="91">
        <v>56</v>
      </c>
      <c r="F9" s="90">
        <v>56</v>
      </c>
      <c r="G9" s="91">
        <v>56</v>
      </c>
      <c r="H9" s="90">
        <v>56</v>
      </c>
      <c r="I9" s="91">
        <v>56</v>
      </c>
      <c r="J9" s="90">
        <v>56</v>
      </c>
      <c r="K9" s="91">
        <v>56</v>
      </c>
      <c r="L9" s="75" t="s">
        <v>14</v>
      </c>
      <c r="M9" s="21" t="s">
        <v>40</v>
      </c>
      <c r="N9" s="75" t="s">
        <v>20</v>
      </c>
      <c r="O9" s="21" t="s">
        <v>588</v>
      </c>
    </row>
    <row r="10" spans="1:15" ht="15.75" thickBot="1">
      <c r="A10" s="17" t="s">
        <v>48</v>
      </c>
      <c r="B10" s="90">
        <v>100</v>
      </c>
      <c r="C10" s="91">
        <v>99.3</v>
      </c>
      <c r="D10" s="90">
        <v>98.6</v>
      </c>
      <c r="E10" s="91">
        <v>97.9</v>
      </c>
      <c r="F10" s="90">
        <v>97.2</v>
      </c>
      <c r="G10" s="91">
        <v>96.5</v>
      </c>
      <c r="H10" s="90">
        <v>95.9</v>
      </c>
      <c r="I10" s="91">
        <v>95.2</v>
      </c>
      <c r="J10" s="90">
        <v>94.5</v>
      </c>
      <c r="K10" s="91">
        <v>93.9</v>
      </c>
      <c r="L10" s="75" t="s">
        <v>14</v>
      </c>
      <c r="M10" s="21" t="s">
        <v>40</v>
      </c>
      <c r="N10" s="75" t="s">
        <v>20</v>
      </c>
      <c r="O10" s="21" t="s">
        <v>588</v>
      </c>
    </row>
    <row r="11" spans="1:15" ht="15.75" thickBot="1">
      <c r="A11" s="17" t="s">
        <v>101</v>
      </c>
      <c r="B11" s="90">
        <v>75</v>
      </c>
      <c r="C11" s="91">
        <v>75</v>
      </c>
      <c r="D11" s="90">
        <v>75</v>
      </c>
      <c r="E11" s="91">
        <v>75</v>
      </c>
      <c r="F11" s="90">
        <v>75</v>
      </c>
      <c r="G11" s="91">
        <v>75</v>
      </c>
      <c r="H11" s="90">
        <v>75</v>
      </c>
      <c r="I11" s="91">
        <v>75</v>
      </c>
      <c r="J11" s="90">
        <v>75</v>
      </c>
      <c r="K11" s="91">
        <v>75</v>
      </c>
      <c r="L11" s="75" t="s">
        <v>14</v>
      </c>
      <c r="M11" s="21" t="s">
        <v>40</v>
      </c>
      <c r="N11" s="75" t="s">
        <v>20</v>
      </c>
      <c r="O11" s="21" t="s">
        <v>588</v>
      </c>
    </row>
    <row r="12" spans="1:15" ht="15.75" thickBot="1">
      <c r="A12" s="17" t="s">
        <v>103</v>
      </c>
      <c r="B12" s="90">
        <v>42.5</v>
      </c>
      <c r="C12" s="91">
        <v>42.5</v>
      </c>
      <c r="D12" s="90">
        <v>42.5</v>
      </c>
      <c r="E12" s="91">
        <v>42.5</v>
      </c>
      <c r="F12" s="90">
        <v>42.5</v>
      </c>
      <c r="G12" s="91">
        <v>42.5</v>
      </c>
      <c r="H12" s="90">
        <v>42.5</v>
      </c>
      <c r="I12" s="91">
        <v>42.5</v>
      </c>
      <c r="J12" s="90">
        <v>42.5</v>
      </c>
      <c r="K12" s="91">
        <v>42.5</v>
      </c>
      <c r="L12" s="75" t="s">
        <v>14</v>
      </c>
      <c r="M12" s="21" t="s">
        <v>40</v>
      </c>
      <c r="N12" s="75" t="s">
        <v>20</v>
      </c>
      <c r="O12" s="21" t="s">
        <v>588</v>
      </c>
    </row>
    <row r="13" spans="1:15" ht="15.75" thickBot="1">
      <c r="A13" s="17" t="s">
        <v>52</v>
      </c>
      <c r="B13" s="90">
        <v>89.5</v>
      </c>
      <c r="C13" s="91">
        <v>89.5</v>
      </c>
      <c r="D13" s="90">
        <v>89.5</v>
      </c>
      <c r="E13" s="91">
        <v>89.5</v>
      </c>
      <c r="F13" s="90">
        <v>89.5</v>
      </c>
      <c r="G13" s="91">
        <v>89.5</v>
      </c>
      <c r="H13" s="90">
        <v>89.5</v>
      </c>
      <c r="I13" s="91">
        <v>89.5</v>
      </c>
      <c r="J13" s="90">
        <v>89.5</v>
      </c>
      <c r="K13" s="91">
        <v>89.5</v>
      </c>
      <c r="L13" s="75" t="s">
        <v>10</v>
      </c>
      <c r="M13" s="21" t="s">
        <v>587</v>
      </c>
      <c r="N13" s="75" t="s">
        <v>20</v>
      </c>
      <c r="O13" s="21" t="s">
        <v>588</v>
      </c>
    </row>
    <row r="14" spans="1:15" ht="15.75" thickBot="1">
      <c r="A14" s="17" t="s">
        <v>105</v>
      </c>
      <c r="B14" s="90">
        <v>100</v>
      </c>
      <c r="C14" s="91">
        <v>350</v>
      </c>
      <c r="D14" s="90">
        <v>350</v>
      </c>
      <c r="E14" s="91">
        <v>350</v>
      </c>
      <c r="F14" s="90">
        <v>350</v>
      </c>
      <c r="G14" s="91">
        <v>350</v>
      </c>
      <c r="H14" s="90">
        <v>350</v>
      </c>
      <c r="I14" s="91">
        <v>350</v>
      </c>
      <c r="J14" s="90">
        <v>350</v>
      </c>
      <c r="K14" s="91">
        <v>350</v>
      </c>
      <c r="L14" s="75" t="s">
        <v>14</v>
      </c>
      <c r="M14" s="21" t="s">
        <v>13</v>
      </c>
      <c r="N14" s="75" t="s">
        <v>20</v>
      </c>
      <c r="O14" s="21" t="s">
        <v>588</v>
      </c>
    </row>
    <row r="15" spans="1:15" ht="15.75" thickBot="1">
      <c r="A15" s="17" t="s">
        <v>56</v>
      </c>
      <c r="B15" s="90">
        <v>580</v>
      </c>
      <c r="C15" s="91">
        <v>580</v>
      </c>
      <c r="D15" s="90">
        <v>580</v>
      </c>
      <c r="E15" s="91">
        <v>580</v>
      </c>
      <c r="F15" s="90">
        <v>580</v>
      </c>
      <c r="G15" s="91">
        <v>580</v>
      </c>
      <c r="H15" s="90">
        <v>580</v>
      </c>
      <c r="I15" s="91">
        <v>580</v>
      </c>
      <c r="J15" s="90">
        <v>580</v>
      </c>
      <c r="K15" s="91">
        <v>580</v>
      </c>
      <c r="L15" s="75" t="s">
        <v>10</v>
      </c>
      <c r="M15" s="21" t="s">
        <v>587</v>
      </c>
      <c r="N15" s="75" t="s">
        <v>20</v>
      </c>
      <c r="O15" s="21" t="s">
        <v>588</v>
      </c>
    </row>
    <row r="16" spans="1:15" ht="15.75" thickBot="1">
      <c r="A16" s="17" t="s">
        <v>107</v>
      </c>
      <c r="B16" s="90">
        <v>108.5</v>
      </c>
      <c r="C16" s="91">
        <v>108.5</v>
      </c>
      <c r="D16" s="90">
        <v>108.5</v>
      </c>
      <c r="E16" s="91">
        <v>108.5</v>
      </c>
      <c r="F16" s="90">
        <v>108.5</v>
      </c>
      <c r="G16" s="91">
        <v>108.5</v>
      </c>
      <c r="H16" s="90">
        <v>108.5</v>
      </c>
      <c r="I16" s="91">
        <v>108.5</v>
      </c>
      <c r="J16" s="90">
        <v>108.5</v>
      </c>
      <c r="K16" s="91">
        <v>108.5</v>
      </c>
      <c r="L16" s="75" t="s">
        <v>14</v>
      </c>
      <c r="M16" s="21" t="s">
        <v>40</v>
      </c>
      <c r="N16" s="75" t="s">
        <v>20</v>
      </c>
      <c r="O16" s="21" t="s">
        <v>588</v>
      </c>
    </row>
    <row r="17" spans="1:15" ht="15.75" thickBot="1">
      <c r="A17" s="17" t="s">
        <v>108</v>
      </c>
      <c r="B17" s="90">
        <v>150</v>
      </c>
      <c r="C17" s="91">
        <v>150</v>
      </c>
      <c r="D17" s="90">
        <v>150</v>
      </c>
      <c r="E17" s="91">
        <v>150</v>
      </c>
      <c r="F17" s="90">
        <v>150</v>
      </c>
      <c r="G17" s="91">
        <v>150</v>
      </c>
      <c r="H17" s="90">
        <v>150</v>
      </c>
      <c r="I17" s="91">
        <v>150</v>
      </c>
      <c r="J17" s="90">
        <v>150</v>
      </c>
      <c r="K17" s="91">
        <v>150</v>
      </c>
      <c r="L17" s="75" t="s">
        <v>14</v>
      </c>
      <c r="M17" s="21" t="s">
        <v>40</v>
      </c>
      <c r="N17" s="75" t="s">
        <v>20</v>
      </c>
      <c r="O17" s="21" t="s">
        <v>588</v>
      </c>
    </row>
    <row r="18" spans="1:15" ht="15.75" thickBot="1">
      <c r="A18" s="17" t="s">
        <v>328</v>
      </c>
      <c r="B18" s="90">
        <v>72</v>
      </c>
      <c r="C18" s="91">
        <v>72</v>
      </c>
      <c r="D18" s="90">
        <v>72</v>
      </c>
      <c r="E18" s="91">
        <v>72</v>
      </c>
      <c r="F18" s="90">
        <v>72</v>
      </c>
      <c r="G18" s="91">
        <v>72</v>
      </c>
      <c r="H18" s="90">
        <v>72</v>
      </c>
      <c r="I18" s="91">
        <v>72</v>
      </c>
      <c r="J18" s="90">
        <v>72</v>
      </c>
      <c r="K18" s="91">
        <v>72</v>
      </c>
      <c r="L18" s="75" t="s">
        <v>14</v>
      </c>
      <c r="M18" s="21" t="s">
        <v>40</v>
      </c>
      <c r="N18" s="75" t="s">
        <v>20</v>
      </c>
      <c r="O18" s="21" t="s">
        <v>588</v>
      </c>
    </row>
    <row r="19" spans="1:15" ht="15.75" thickBot="1">
      <c r="A19" s="17" t="s">
        <v>59</v>
      </c>
      <c r="B19" s="90">
        <v>1680</v>
      </c>
      <c r="C19" s="91">
        <v>1680</v>
      </c>
      <c r="D19" s="90">
        <v>1680</v>
      </c>
      <c r="E19" s="91">
        <v>1680</v>
      </c>
      <c r="F19" s="90">
        <v>1680</v>
      </c>
      <c r="G19" s="91">
        <v>1680</v>
      </c>
      <c r="H19" s="90">
        <v>1680</v>
      </c>
      <c r="I19" s="91">
        <v>1680</v>
      </c>
      <c r="J19" s="90">
        <v>1680</v>
      </c>
      <c r="K19" s="91">
        <v>1680</v>
      </c>
      <c r="L19" s="75" t="s">
        <v>10</v>
      </c>
      <c r="M19" s="21" t="s">
        <v>587</v>
      </c>
      <c r="N19" s="75" t="s">
        <v>20</v>
      </c>
      <c r="O19" s="21" t="s">
        <v>588</v>
      </c>
    </row>
    <row r="20" spans="1:15" ht="15.75" thickBot="1">
      <c r="A20" s="17" t="s">
        <v>352</v>
      </c>
      <c r="B20" s="90">
        <v>57.5</v>
      </c>
      <c r="C20" s="91">
        <v>57.5</v>
      </c>
      <c r="D20" s="90">
        <v>57.5</v>
      </c>
      <c r="E20" s="91">
        <v>57.5</v>
      </c>
      <c r="F20" s="90">
        <v>57.5</v>
      </c>
      <c r="G20" s="91">
        <v>57.5</v>
      </c>
      <c r="H20" s="90">
        <v>57.5</v>
      </c>
      <c r="I20" s="91">
        <v>57.5</v>
      </c>
      <c r="J20" s="90">
        <v>57.5</v>
      </c>
      <c r="K20" s="91">
        <v>57.5</v>
      </c>
      <c r="L20" s="75" t="s">
        <v>14</v>
      </c>
      <c r="M20" s="21" t="s">
        <v>40</v>
      </c>
      <c r="N20" s="75" t="s">
        <v>20</v>
      </c>
      <c r="O20" s="21" t="s">
        <v>588</v>
      </c>
    </row>
    <row r="21" spans="1:15" ht="15.75" thickBot="1">
      <c r="A21" s="17" t="s">
        <v>110</v>
      </c>
      <c r="B21" s="90">
        <v>100</v>
      </c>
      <c r="C21" s="91">
        <v>100</v>
      </c>
      <c r="D21" s="90">
        <v>100</v>
      </c>
      <c r="E21" s="91">
        <v>100</v>
      </c>
      <c r="F21" s="90">
        <v>100</v>
      </c>
      <c r="G21" s="91">
        <v>100</v>
      </c>
      <c r="H21" s="90">
        <v>100</v>
      </c>
      <c r="I21" s="91">
        <v>100</v>
      </c>
      <c r="J21" s="90">
        <v>100</v>
      </c>
      <c r="K21" s="91">
        <v>100</v>
      </c>
      <c r="L21" s="75" t="s">
        <v>14</v>
      </c>
      <c r="M21" s="21" t="s">
        <v>40</v>
      </c>
      <c r="N21" s="75" t="s">
        <v>20</v>
      </c>
      <c r="O21" s="21" t="s">
        <v>588</v>
      </c>
    </row>
    <row r="22" spans="1:15" ht="15.75" thickBot="1">
      <c r="A22" s="17" t="s">
        <v>112</v>
      </c>
      <c r="B22" s="90">
        <v>50</v>
      </c>
      <c r="C22" s="91">
        <v>50</v>
      </c>
      <c r="D22" s="90">
        <v>50</v>
      </c>
      <c r="E22" s="91">
        <v>50</v>
      </c>
      <c r="F22" s="90">
        <v>50</v>
      </c>
      <c r="G22" s="91">
        <v>50</v>
      </c>
      <c r="H22" s="90">
        <v>50</v>
      </c>
      <c r="I22" s="91">
        <v>50</v>
      </c>
      <c r="J22" s="90">
        <v>50</v>
      </c>
      <c r="K22" s="91">
        <v>50</v>
      </c>
      <c r="L22" s="75" t="s">
        <v>14</v>
      </c>
      <c r="M22" s="21" t="s">
        <v>40</v>
      </c>
      <c r="N22" s="75" t="s">
        <v>20</v>
      </c>
      <c r="O22" s="21" t="s">
        <v>588</v>
      </c>
    </row>
    <row r="23" spans="1:15" ht="15.75" thickBot="1">
      <c r="A23" s="17" t="s">
        <v>63</v>
      </c>
      <c r="B23" s="90">
        <v>86.4</v>
      </c>
      <c r="C23" s="91">
        <v>86.4</v>
      </c>
      <c r="D23" s="90">
        <v>86.4</v>
      </c>
      <c r="E23" s="91">
        <v>86.4</v>
      </c>
      <c r="F23" s="90">
        <v>86.4</v>
      </c>
      <c r="G23" s="91">
        <v>86.4</v>
      </c>
      <c r="H23" s="90">
        <v>86.4</v>
      </c>
      <c r="I23" s="91">
        <v>86.4</v>
      </c>
      <c r="J23" s="90">
        <v>86.4</v>
      </c>
      <c r="K23" s="91">
        <v>86.4</v>
      </c>
      <c r="L23" s="75" t="s">
        <v>10</v>
      </c>
      <c r="M23" s="21" t="s">
        <v>589</v>
      </c>
      <c r="N23" s="75" t="s">
        <v>20</v>
      </c>
      <c r="O23" s="21" t="s">
        <v>588</v>
      </c>
    </row>
    <row r="24" spans="1:15" ht="15.75" thickBot="1">
      <c r="A24" s="17" t="s">
        <v>113</v>
      </c>
      <c r="B24" s="90">
        <v>0</v>
      </c>
      <c r="C24" s="91">
        <v>15</v>
      </c>
      <c r="D24" s="90">
        <v>15</v>
      </c>
      <c r="E24" s="91">
        <v>15</v>
      </c>
      <c r="F24" s="90">
        <v>15</v>
      </c>
      <c r="G24" s="91">
        <v>15</v>
      </c>
      <c r="H24" s="90">
        <v>15</v>
      </c>
      <c r="I24" s="91">
        <v>15</v>
      </c>
      <c r="J24" s="90">
        <v>15</v>
      </c>
      <c r="K24" s="91">
        <v>15</v>
      </c>
      <c r="L24" s="75" t="s">
        <v>14</v>
      </c>
      <c r="M24" s="21" t="s">
        <v>40</v>
      </c>
      <c r="N24" s="75" t="s">
        <v>20</v>
      </c>
      <c r="O24" s="21" t="s">
        <v>588</v>
      </c>
    </row>
    <row r="25" spans="1:15" ht="15.75" thickBot="1">
      <c r="A25" s="17" t="s">
        <v>114</v>
      </c>
      <c r="B25" s="90">
        <v>0</v>
      </c>
      <c r="C25" s="91">
        <v>2</v>
      </c>
      <c r="D25" s="90">
        <v>2</v>
      </c>
      <c r="E25" s="91">
        <v>2</v>
      </c>
      <c r="F25" s="90">
        <v>2</v>
      </c>
      <c r="G25" s="91">
        <v>2</v>
      </c>
      <c r="H25" s="90">
        <v>2</v>
      </c>
      <c r="I25" s="91">
        <v>2</v>
      </c>
      <c r="J25" s="90">
        <v>2</v>
      </c>
      <c r="K25" s="91">
        <v>2</v>
      </c>
      <c r="L25" s="75" t="s">
        <v>14</v>
      </c>
      <c r="M25" s="21" t="s">
        <v>771</v>
      </c>
      <c r="N25" s="75" t="s">
        <v>20</v>
      </c>
      <c r="O25" s="21" t="s">
        <v>588</v>
      </c>
    </row>
    <row r="26" spans="1:15" ht="15.75" thickBot="1">
      <c r="A26" s="17" t="s">
        <v>115</v>
      </c>
      <c r="B26" s="90">
        <v>0</v>
      </c>
      <c r="C26" s="91">
        <v>43.2</v>
      </c>
      <c r="D26" s="90">
        <v>43.2</v>
      </c>
      <c r="E26" s="91">
        <v>43.2</v>
      </c>
      <c r="F26" s="90">
        <v>43.2</v>
      </c>
      <c r="G26" s="91">
        <v>43.2</v>
      </c>
      <c r="H26" s="90">
        <v>43.2</v>
      </c>
      <c r="I26" s="91">
        <v>43.2</v>
      </c>
      <c r="J26" s="90">
        <v>43.2</v>
      </c>
      <c r="K26" s="91">
        <v>43.2</v>
      </c>
      <c r="L26" s="75" t="s">
        <v>14</v>
      </c>
      <c r="M26" s="21" t="s">
        <v>13</v>
      </c>
      <c r="N26" s="75" t="s">
        <v>20</v>
      </c>
      <c r="O26" s="21" t="s">
        <v>588</v>
      </c>
    </row>
    <row r="27" spans="1:15" ht="15.75" thickBot="1">
      <c r="A27" s="17" t="s">
        <v>65</v>
      </c>
      <c r="B27" s="90">
        <v>48.5</v>
      </c>
      <c r="C27" s="91">
        <v>48.5</v>
      </c>
      <c r="D27" s="90">
        <v>48.5</v>
      </c>
      <c r="E27" s="91">
        <v>48.5</v>
      </c>
      <c r="F27" s="90">
        <v>48.5</v>
      </c>
      <c r="G27" s="91">
        <v>48.5</v>
      </c>
      <c r="H27" s="90">
        <v>48.5</v>
      </c>
      <c r="I27" s="91">
        <v>48.5</v>
      </c>
      <c r="J27" s="90">
        <v>48.5</v>
      </c>
      <c r="K27" s="91">
        <v>48.5</v>
      </c>
      <c r="L27" s="75" t="s">
        <v>14</v>
      </c>
      <c r="M27" s="21" t="s">
        <v>40</v>
      </c>
      <c r="N27" s="75" t="s">
        <v>20</v>
      </c>
      <c r="O27" s="21" t="s">
        <v>588</v>
      </c>
    </row>
    <row r="28" spans="1:15" ht="15.75" thickBot="1">
      <c r="A28" s="17" t="s">
        <v>68</v>
      </c>
      <c r="B28" s="90">
        <v>713</v>
      </c>
      <c r="C28" s="91">
        <v>713</v>
      </c>
      <c r="D28" s="90">
        <v>713</v>
      </c>
      <c r="E28" s="91">
        <v>713</v>
      </c>
      <c r="F28" s="90">
        <v>713</v>
      </c>
      <c r="G28" s="91">
        <v>713</v>
      </c>
      <c r="H28" s="90">
        <v>713</v>
      </c>
      <c r="I28" s="91">
        <v>713</v>
      </c>
      <c r="J28" s="90">
        <v>713</v>
      </c>
      <c r="K28" s="91">
        <v>713</v>
      </c>
      <c r="L28" s="75" t="s">
        <v>10</v>
      </c>
      <c r="M28" s="21" t="s">
        <v>587</v>
      </c>
      <c r="N28" s="75" t="s">
        <v>20</v>
      </c>
      <c r="O28" s="21" t="s">
        <v>588</v>
      </c>
    </row>
    <row r="29" spans="1:15" ht="15.75" thickBot="1">
      <c r="A29" s="17" t="s">
        <v>117</v>
      </c>
      <c r="B29" s="90">
        <v>100</v>
      </c>
      <c r="C29" s="91">
        <v>99.3</v>
      </c>
      <c r="D29" s="90">
        <v>98.6</v>
      </c>
      <c r="E29" s="91">
        <v>97.9</v>
      </c>
      <c r="F29" s="90">
        <v>97.2</v>
      </c>
      <c r="G29" s="91">
        <v>96.5</v>
      </c>
      <c r="H29" s="90">
        <v>95.9</v>
      </c>
      <c r="I29" s="91">
        <v>95.2</v>
      </c>
      <c r="J29" s="90">
        <v>94.5</v>
      </c>
      <c r="K29" s="91">
        <v>93.9</v>
      </c>
      <c r="L29" s="75" t="s">
        <v>14</v>
      </c>
      <c r="M29" s="21" t="s">
        <v>40</v>
      </c>
      <c r="N29" s="75" t="s">
        <v>20</v>
      </c>
      <c r="O29" s="21" t="s">
        <v>588</v>
      </c>
    </row>
    <row r="30" spans="1:15" ht="15.75" thickBot="1">
      <c r="A30" s="17" t="s">
        <v>72</v>
      </c>
      <c r="B30" s="90">
        <v>34</v>
      </c>
      <c r="C30" s="91">
        <v>34</v>
      </c>
      <c r="D30" s="90">
        <v>34</v>
      </c>
      <c r="E30" s="91">
        <v>0</v>
      </c>
      <c r="F30" s="90">
        <v>0</v>
      </c>
      <c r="G30" s="91">
        <v>0</v>
      </c>
      <c r="H30" s="90">
        <v>0</v>
      </c>
      <c r="I30" s="91">
        <v>0</v>
      </c>
      <c r="J30" s="90">
        <v>0</v>
      </c>
      <c r="K30" s="91">
        <v>0</v>
      </c>
      <c r="L30" s="75" t="s">
        <v>10</v>
      </c>
      <c r="M30" s="21" t="s">
        <v>587</v>
      </c>
      <c r="N30" s="75" t="s">
        <v>20</v>
      </c>
      <c r="O30" s="21" t="s">
        <v>588</v>
      </c>
    </row>
    <row r="31" spans="1:15" ht="15.75" thickBot="1">
      <c r="A31" s="17" t="s">
        <v>74</v>
      </c>
      <c r="B31" s="90">
        <v>612</v>
      </c>
      <c r="C31" s="91">
        <v>612</v>
      </c>
      <c r="D31" s="90">
        <v>612</v>
      </c>
      <c r="E31" s="91">
        <v>612</v>
      </c>
      <c r="F31" s="90">
        <v>612</v>
      </c>
      <c r="G31" s="91">
        <v>612</v>
      </c>
      <c r="H31" s="90">
        <v>612</v>
      </c>
      <c r="I31" s="91">
        <v>612</v>
      </c>
      <c r="J31" s="90">
        <v>612</v>
      </c>
      <c r="K31" s="91">
        <v>612</v>
      </c>
      <c r="L31" s="75" t="s">
        <v>10</v>
      </c>
      <c r="M31" s="21" t="s">
        <v>587</v>
      </c>
      <c r="N31" s="75" t="s">
        <v>20</v>
      </c>
      <c r="O31" s="21" t="s">
        <v>588</v>
      </c>
    </row>
    <row r="32" spans="1:15" ht="15.75" thickBot="1">
      <c r="A32" s="17" t="s">
        <v>119</v>
      </c>
      <c r="B32" s="90">
        <v>180.45</v>
      </c>
      <c r="C32" s="91">
        <v>180.45</v>
      </c>
      <c r="D32" s="90">
        <v>180.45</v>
      </c>
      <c r="E32" s="91">
        <v>180.45</v>
      </c>
      <c r="F32" s="90">
        <v>180.45</v>
      </c>
      <c r="G32" s="91">
        <v>180.45</v>
      </c>
      <c r="H32" s="90">
        <v>180.45</v>
      </c>
      <c r="I32" s="91">
        <v>180.45</v>
      </c>
      <c r="J32" s="90">
        <v>180.45</v>
      </c>
      <c r="K32" s="91">
        <v>180.45</v>
      </c>
      <c r="L32" s="75" t="s">
        <v>14</v>
      </c>
      <c r="M32" s="21" t="s">
        <v>13</v>
      </c>
      <c r="N32" s="75" t="s">
        <v>20</v>
      </c>
      <c r="O32" s="21" t="s">
        <v>588</v>
      </c>
    </row>
    <row r="33" spans="1:15" ht="15.75" thickBot="1">
      <c r="A33" s="17" t="s">
        <v>77</v>
      </c>
      <c r="B33" s="90">
        <v>400</v>
      </c>
      <c r="C33" s="91">
        <v>400</v>
      </c>
      <c r="D33" s="90">
        <v>400</v>
      </c>
      <c r="E33" s="91">
        <v>400</v>
      </c>
      <c r="F33" s="90">
        <v>400</v>
      </c>
      <c r="G33" s="91">
        <v>400</v>
      </c>
      <c r="H33" s="90">
        <v>400</v>
      </c>
      <c r="I33" s="91">
        <v>400</v>
      </c>
      <c r="J33" s="90">
        <v>400</v>
      </c>
      <c r="K33" s="91">
        <v>400</v>
      </c>
      <c r="L33" s="75" t="s">
        <v>10</v>
      </c>
      <c r="M33" s="21" t="s">
        <v>587</v>
      </c>
      <c r="N33" s="75" t="s">
        <v>20</v>
      </c>
      <c r="O33" s="21" t="s">
        <v>588</v>
      </c>
    </row>
    <row r="34" spans="1:15" ht="15.75" thickBot="1">
      <c r="A34" s="17" t="s">
        <v>121</v>
      </c>
      <c r="B34" s="90">
        <v>55</v>
      </c>
      <c r="C34" s="91">
        <v>55</v>
      </c>
      <c r="D34" s="90">
        <v>55</v>
      </c>
      <c r="E34" s="91">
        <v>55</v>
      </c>
      <c r="F34" s="90">
        <v>55</v>
      </c>
      <c r="G34" s="91">
        <v>55</v>
      </c>
      <c r="H34" s="90">
        <v>55</v>
      </c>
      <c r="I34" s="91">
        <v>55</v>
      </c>
      <c r="J34" s="90">
        <v>55</v>
      </c>
      <c r="K34" s="91">
        <v>55</v>
      </c>
      <c r="L34" s="75" t="s">
        <v>14</v>
      </c>
      <c r="M34" s="21" t="s">
        <v>40</v>
      </c>
      <c r="N34" s="75" t="s">
        <v>20</v>
      </c>
      <c r="O34" s="21" t="s">
        <v>588</v>
      </c>
    </row>
    <row r="35" spans="1:15" ht="15.75" thickBot="1">
      <c r="A35" s="17" t="s">
        <v>79</v>
      </c>
      <c r="B35" s="90">
        <v>282</v>
      </c>
      <c r="C35" s="91">
        <v>282</v>
      </c>
      <c r="D35" s="90">
        <v>282</v>
      </c>
      <c r="E35" s="91">
        <v>282</v>
      </c>
      <c r="F35" s="90">
        <v>282</v>
      </c>
      <c r="G35" s="91">
        <v>282</v>
      </c>
      <c r="H35" s="90">
        <v>282</v>
      </c>
      <c r="I35" s="91">
        <v>282</v>
      </c>
      <c r="J35" s="90">
        <v>282</v>
      </c>
      <c r="K35" s="91">
        <v>282</v>
      </c>
      <c r="L35" s="75" t="s">
        <v>10</v>
      </c>
      <c r="M35" s="21" t="s">
        <v>587</v>
      </c>
      <c r="N35" s="75" t="s">
        <v>20</v>
      </c>
      <c r="O35" s="21" t="s">
        <v>588</v>
      </c>
    </row>
    <row r="36" spans="1:15" ht="15.75" thickBot="1">
      <c r="A36" s="17" t="s">
        <v>123</v>
      </c>
      <c r="B36" s="90">
        <v>25</v>
      </c>
      <c r="C36" s="91">
        <v>25</v>
      </c>
      <c r="D36" s="90">
        <v>25</v>
      </c>
      <c r="E36" s="91">
        <v>25</v>
      </c>
      <c r="F36" s="90">
        <v>25</v>
      </c>
      <c r="G36" s="91">
        <v>25</v>
      </c>
      <c r="H36" s="90">
        <v>25</v>
      </c>
      <c r="I36" s="91">
        <v>25</v>
      </c>
      <c r="J36" s="90">
        <v>25</v>
      </c>
      <c r="K36" s="91">
        <v>25</v>
      </c>
      <c r="L36" s="75" t="s">
        <v>14</v>
      </c>
      <c r="M36" s="21" t="s">
        <v>40</v>
      </c>
      <c r="N36" s="75" t="s">
        <v>20</v>
      </c>
      <c r="O36" s="21" t="s">
        <v>588</v>
      </c>
    </row>
    <row r="37" spans="1:15" ht="15.75" thickBot="1">
      <c r="A37" s="17" t="s">
        <v>82</v>
      </c>
      <c r="B37" s="90">
        <v>54</v>
      </c>
      <c r="C37" s="91">
        <v>54</v>
      </c>
      <c r="D37" s="90">
        <v>54</v>
      </c>
      <c r="E37" s="91">
        <v>54</v>
      </c>
      <c r="F37" s="90">
        <v>54</v>
      </c>
      <c r="G37" s="91">
        <v>54</v>
      </c>
      <c r="H37" s="90">
        <v>54</v>
      </c>
      <c r="I37" s="91">
        <v>54</v>
      </c>
      <c r="J37" s="90">
        <v>54</v>
      </c>
      <c r="K37" s="91">
        <v>54</v>
      </c>
      <c r="L37" s="75" t="s">
        <v>10</v>
      </c>
      <c r="M37" s="21" t="s">
        <v>587</v>
      </c>
      <c r="N37" s="75" t="s">
        <v>20</v>
      </c>
      <c r="O37" s="21" t="s">
        <v>588</v>
      </c>
    </row>
    <row r="38" spans="1:15" ht="15.75" thickBot="1">
      <c r="A38" s="17" t="s">
        <v>125</v>
      </c>
      <c r="B38" s="90">
        <v>116</v>
      </c>
      <c r="C38" s="91">
        <v>116</v>
      </c>
      <c r="D38" s="90">
        <v>116</v>
      </c>
      <c r="E38" s="91">
        <v>116</v>
      </c>
      <c r="F38" s="90">
        <v>116</v>
      </c>
      <c r="G38" s="91">
        <v>116</v>
      </c>
      <c r="H38" s="90">
        <v>116</v>
      </c>
      <c r="I38" s="91">
        <v>116</v>
      </c>
      <c r="J38" s="90">
        <v>116</v>
      </c>
      <c r="K38" s="91">
        <v>116</v>
      </c>
      <c r="L38" s="75" t="s">
        <v>14</v>
      </c>
      <c r="M38" s="21" t="s">
        <v>40</v>
      </c>
      <c r="N38" s="75" t="s">
        <v>20</v>
      </c>
      <c r="O38" s="21" t="s">
        <v>588</v>
      </c>
    </row>
    <row r="39" spans="1:15" ht="15.75" thickBot="1">
      <c r="A39" s="17" t="s">
        <v>419</v>
      </c>
      <c r="B39" s="90">
        <v>65</v>
      </c>
      <c r="C39" s="91">
        <v>65</v>
      </c>
      <c r="D39" s="90">
        <v>65</v>
      </c>
      <c r="E39" s="91">
        <v>65</v>
      </c>
      <c r="F39" s="90">
        <v>65</v>
      </c>
      <c r="G39" s="91">
        <v>65</v>
      </c>
      <c r="H39" s="90">
        <v>65</v>
      </c>
      <c r="I39" s="91">
        <v>65</v>
      </c>
      <c r="J39" s="90">
        <v>65</v>
      </c>
      <c r="K39" s="91">
        <v>65</v>
      </c>
      <c r="L39" s="75" t="s">
        <v>14</v>
      </c>
      <c r="M39" s="21" t="s">
        <v>40</v>
      </c>
      <c r="N39" s="75" t="s">
        <v>20</v>
      </c>
      <c r="O39" s="21" t="s">
        <v>588</v>
      </c>
    </row>
    <row r="40" spans="1:15" ht="15.75" thickBot="1">
      <c r="A40" s="17" t="s">
        <v>83</v>
      </c>
      <c r="B40" s="90">
        <v>1460</v>
      </c>
      <c r="C40" s="91">
        <v>1460</v>
      </c>
      <c r="D40" s="90">
        <v>1460</v>
      </c>
      <c r="E40" s="91">
        <v>1460</v>
      </c>
      <c r="F40" s="90">
        <v>1460</v>
      </c>
      <c r="G40" s="91">
        <v>1460</v>
      </c>
      <c r="H40" s="90">
        <v>1460</v>
      </c>
      <c r="I40" s="91">
        <v>1460</v>
      </c>
      <c r="J40" s="90">
        <v>1460</v>
      </c>
      <c r="K40" s="91">
        <v>1460</v>
      </c>
      <c r="L40" s="75" t="s">
        <v>10</v>
      </c>
      <c r="M40" s="21" t="s">
        <v>587</v>
      </c>
      <c r="N40" s="75" t="s">
        <v>20</v>
      </c>
      <c r="O40" s="21" t="s">
        <v>588</v>
      </c>
    </row>
    <row r="41" spans="1:15" ht="15.75" thickBot="1">
      <c r="A41" s="17" t="s">
        <v>196</v>
      </c>
      <c r="B41" s="90">
        <v>124</v>
      </c>
      <c r="C41" s="91">
        <v>124</v>
      </c>
      <c r="D41" s="90">
        <v>124</v>
      </c>
      <c r="E41" s="91">
        <v>124</v>
      </c>
      <c r="F41" s="90">
        <v>124</v>
      </c>
      <c r="G41" s="91">
        <v>124</v>
      </c>
      <c r="H41" s="90">
        <v>124</v>
      </c>
      <c r="I41" s="91">
        <v>124</v>
      </c>
      <c r="J41" s="90">
        <v>124</v>
      </c>
      <c r="K41" s="91">
        <v>124</v>
      </c>
      <c r="L41" s="75" t="s">
        <v>14</v>
      </c>
      <c r="M41" s="21" t="s">
        <v>40</v>
      </c>
      <c r="N41" s="75" t="s">
        <v>20</v>
      </c>
      <c r="O41" s="21" t="s">
        <v>588</v>
      </c>
    </row>
    <row r="42" spans="1:15" ht="15.75" thickBot="1">
      <c r="A42" s="17" t="s">
        <v>423</v>
      </c>
      <c r="B42" s="90">
        <v>75</v>
      </c>
      <c r="C42" s="91">
        <v>75</v>
      </c>
      <c r="D42" s="90">
        <v>75</v>
      </c>
      <c r="E42" s="91">
        <v>75</v>
      </c>
      <c r="F42" s="90">
        <v>75</v>
      </c>
      <c r="G42" s="91">
        <v>75</v>
      </c>
      <c r="H42" s="90">
        <v>75</v>
      </c>
      <c r="I42" s="91">
        <v>75</v>
      </c>
      <c r="J42" s="90">
        <v>75</v>
      </c>
      <c r="K42" s="91">
        <v>75</v>
      </c>
      <c r="L42" s="75" t="s">
        <v>14</v>
      </c>
      <c r="M42" s="21" t="s">
        <v>40</v>
      </c>
      <c r="N42" s="75" t="s">
        <v>20</v>
      </c>
      <c r="O42" s="21" t="s">
        <v>588</v>
      </c>
    </row>
    <row r="43" spans="1:15" ht="15.75" thickBot="1">
      <c r="A43" s="17" t="s">
        <v>85</v>
      </c>
      <c r="B43" s="90">
        <v>350</v>
      </c>
      <c r="C43" s="91">
        <v>350</v>
      </c>
      <c r="D43" s="90">
        <v>350</v>
      </c>
      <c r="E43" s="91">
        <v>350</v>
      </c>
      <c r="F43" s="90">
        <v>350</v>
      </c>
      <c r="G43" s="91">
        <v>350</v>
      </c>
      <c r="H43" s="90">
        <v>350</v>
      </c>
      <c r="I43" s="91">
        <v>350</v>
      </c>
      <c r="J43" s="90">
        <v>350</v>
      </c>
      <c r="K43" s="91">
        <v>350</v>
      </c>
      <c r="L43" s="75" t="s">
        <v>10</v>
      </c>
      <c r="M43" s="21" t="s">
        <v>587</v>
      </c>
      <c r="N43" s="75" t="s">
        <v>20</v>
      </c>
      <c r="O43" s="21" t="s">
        <v>588</v>
      </c>
    </row>
    <row r="44" spans="1:15" ht="15.75" thickBot="1">
      <c r="A44" s="17" t="s">
        <v>88</v>
      </c>
      <c r="B44" s="90">
        <v>1400</v>
      </c>
      <c r="C44" s="91">
        <v>1400</v>
      </c>
      <c r="D44" s="90">
        <v>1400</v>
      </c>
      <c r="E44" s="91">
        <v>1400</v>
      </c>
      <c r="F44" s="90">
        <v>1400</v>
      </c>
      <c r="G44" s="91">
        <v>1400</v>
      </c>
      <c r="H44" s="90">
        <v>1400</v>
      </c>
      <c r="I44" s="91">
        <v>1400</v>
      </c>
      <c r="J44" s="90">
        <v>1400</v>
      </c>
      <c r="K44" s="91">
        <v>1400</v>
      </c>
      <c r="L44" s="75" t="s">
        <v>10</v>
      </c>
      <c r="M44" s="21" t="s">
        <v>587</v>
      </c>
      <c r="N44" s="75" t="s">
        <v>20</v>
      </c>
      <c r="O44" s="21" t="s">
        <v>588</v>
      </c>
    </row>
    <row r="45" spans="1:15" ht="15.75" thickBot="1">
      <c r="A45" s="17" t="s">
        <v>90</v>
      </c>
      <c r="B45" s="90">
        <v>443</v>
      </c>
      <c r="C45" s="91">
        <v>443</v>
      </c>
      <c r="D45" s="90">
        <v>443</v>
      </c>
      <c r="E45" s="91">
        <v>443</v>
      </c>
      <c r="F45" s="90">
        <v>443</v>
      </c>
      <c r="G45" s="91">
        <v>443</v>
      </c>
      <c r="H45" s="90">
        <v>443</v>
      </c>
      <c r="I45" s="91">
        <v>443</v>
      </c>
      <c r="J45" s="90">
        <v>443</v>
      </c>
      <c r="K45" s="91">
        <v>443</v>
      </c>
      <c r="L45" s="75" t="s">
        <v>10</v>
      </c>
      <c r="M45" s="21" t="s">
        <v>587</v>
      </c>
      <c r="N45" s="75" t="s">
        <v>20</v>
      </c>
      <c r="O45" s="21" t="s">
        <v>588</v>
      </c>
    </row>
    <row r="46" spans="1:15" ht="15.75" thickBot="1">
      <c r="A46" s="17" t="s">
        <v>427</v>
      </c>
      <c r="B46" s="90">
        <v>0</v>
      </c>
      <c r="C46" s="91">
        <v>52.5</v>
      </c>
      <c r="D46" s="90">
        <v>52.5</v>
      </c>
      <c r="E46" s="91">
        <v>52.5</v>
      </c>
      <c r="F46" s="90">
        <v>52.5</v>
      </c>
      <c r="G46" s="91">
        <v>52.5</v>
      </c>
      <c r="H46" s="90">
        <v>52.5</v>
      </c>
      <c r="I46" s="91">
        <v>52.5</v>
      </c>
      <c r="J46" s="90">
        <v>52.5</v>
      </c>
      <c r="K46" s="91">
        <v>52.5</v>
      </c>
      <c r="L46" s="75" t="s">
        <v>14</v>
      </c>
      <c r="M46" s="21" t="s">
        <v>40</v>
      </c>
      <c r="N46" s="75" t="s">
        <v>20</v>
      </c>
      <c r="O46" s="21" t="s">
        <v>588</v>
      </c>
    </row>
    <row r="47" spans="1:15" ht="15.75" thickBot="1">
      <c r="A47" s="17" t="s">
        <v>92</v>
      </c>
      <c r="B47" s="90">
        <v>155</v>
      </c>
      <c r="C47" s="91">
        <v>155</v>
      </c>
      <c r="D47" s="90">
        <v>233</v>
      </c>
      <c r="E47" s="91">
        <v>233</v>
      </c>
      <c r="F47" s="90">
        <v>232</v>
      </c>
      <c r="G47" s="91">
        <v>232</v>
      </c>
      <c r="H47" s="90">
        <v>231</v>
      </c>
      <c r="I47" s="91">
        <v>231</v>
      </c>
      <c r="J47" s="90">
        <v>231</v>
      </c>
      <c r="K47" s="91">
        <v>231</v>
      </c>
      <c r="L47" s="75" t="s">
        <v>10</v>
      </c>
      <c r="M47" s="21" t="s">
        <v>587</v>
      </c>
      <c r="N47" s="75" t="s">
        <v>20</v>
      </c>
      <c r="O47" s="21" t="s">
        <v>588</v>
      </c>
    </row>
    <row r="48" spans="1:15" ht="15.75" thickBot="1">
      <c r="A48" s="17" t="s">
        <v>128</v>
      </c>
      <c r="B48" s="90">
        <v>57.5</v>
      </c>
      <c r="C48" s="91">
        <v>57.5</v>
      </c>
      <c r="D48" s="90">
        <v>57.5</v>
      </c>
      <c r="E48" s="91">
        <v>57.5</v>
      </c>
      <c r="F48" s="90">
        <v>57.5</v>
      </c>
      <c r="G48" s="91">
        <v>57.5</v>
      </c>
      <c r="H48" s="90">
        <v>57.5</v>
      </c>
      <c r="I48" s="91">
        <v>57.5</v>
      </c>
      <c r="J48" s="90">
        <v>57.5</v>
      </c>
      <c r="K48" s="91">
        <v>57.5</v>
      </c>
      <c r="L48" s="75" t="s">
        <v>14</v>
      </c>
      <c r="M48" s="21" t="s">
        <v>40</v>
      </c>
      <c r="N48" s="75" t="s">
        <v>20</v>
      </c>
      <c r="O48" s="21" t="s">
        <v>588</v>
      </c>
    </row>
    <row r="49" spans="1:15" ht="15.75" thickBot="1">
      <c r="A49" s="17" t="s">
        <v>94</v>
      </c>
      <c r="B49" s="90">
        <v>570</v>
      </c>
      <c r="C49" s="91">
        <v>570</v>
      </c>
      <c r="D49" s="90">
        <v>570</v>
      </c>
      <c r="E49" s="91">
        <v>570</v>
      </c>
      <c r="F49" s="90">
        <v>570</v>
      </c>
      <c r="G49" s="91">
        <v>570</v>
      </c>
      <c r="H49" s="90">
        <v>570</v>
      </c>
      <c r="I49" s="91">
        <v>570</v>
      </c>
      <c r="J49" s="90">
        <v>570</v>
      </c>
      <c r="K49" s="91">
        <v>570</v>
      </c>
      <c r="L49" s="75" t="s">
        <v>10</v>
      </c>
      <c r="M49" s="21" t="s">
        <v>589</v>
      </c>
      <c r="N49" s="75" t="s">
        <v>20</v>
      </c>
      <c r="O49" s="21" t="s">
        <v>588</v>
      </c>
    </row>
    <row r="50" spans="1:15">
      <c r="A50" s="74" t="s">
        <v>449</v>
      </c>
      <c r="B50" s="92">
        <v>0</v>
      </c>
      <c r="C50" s="93">
        <v>102.5</v>
      </c>
      <c r="D50" s="92">
        <v>102.5</v>
      </c>
      <c r="E50" s="93">
        <v>102.5</v>
      </c>
      <c r="F50" s="92">
        <v>102.5</v>
      </c>
      <c r="G50" s="93">
        <v>102.5</v>
      </c>
      <c r="H50" s="92">
        <v>102.5</v>
      </c>
      <c r="I50" s="93">
        <v>102.5</v>
      </c>
      <c r="J50" s="92">
        <v>102.5</v>
      </c>
      <c r="K50" s="93">
        <v>102.5</v>
      </c>
      <c r="L50" s="77" t="s">
        <v>14</v>
      </c>
      <c r="M50" s="78" t="s">
        <v>40</v>
      </c>
      <c r="N50" s="77" t="s">
        <v>20</v>
      </c>
      <c r="O50" s="78" t="s">
        <v>588</v>
      </c>
    </row>
    <row r="51" spans="1:15" ht="16.5" customHeight="1" thickBot="1">
      <c r="B51" s="94"/>
      <c r="C51" s="94"/>
      <c r="D51" s="94"/>
      <c r="E51" s="94"/>
      <c r="F51" s="94"/>
      <c r="G51" s="94"/>
      <c r="H51" s="94"/>
      <c r="I51" s="94"/>
      <c r="J51" s="94"/>
      <c r="K51" s="94"/>
    </row>
    <row r="52" spans="1:15" s="84" customFormat="1" ht="16.5" customHeight="1" thickBot="1">
      <c r="A52" s="54" t="s">
        <v>96</v>
      </c>
      <c r="B52" s="95">
        <f>SUM(sumcapsalltable[201819])</f>
        <v>13212.849999999999</v>
      </c>
      <c r="C52" s="95">
        <f>SUM(sumcapsalltable[201920])</f>
        <v>13756.65</v>
      </c>
      <c r="D52" s="95">
        <f>SUM(sumcapsalltable[202021])</f>
        <v>13833.25</v>
      </c>
      <c r="E52" s="95">
        <f>SUM(sumcapsalltable[202122])</f>
        <v>13797.849999999999</v>
      </c>
      <c r="F52" s="95">
        <f>SUM(sumcapsalltable[202223])</f>
        <v>13805.449999999999</v>
      </c>
      <c r="G52" s="95">
        <f>SUM(sumcapsalltable[202324])</f>
        <v>13804.05</v>
      </c>
      <c r="H52" s="95">
        <f>SUM(sumcapsalltable[202425])</f>
        <v>13801.849999999999</v>
      </c>
      <c r="I52" s="95">
        <f>SUM(sumcapsalltable[202526])</f>
        <v>13800.449999999999</v>
      </c>
      <c r="J52" s="95">
        <f>SUM(sumcapsalltable[202627])</f>
        <v>13799.05</v>
      </c>
      <c r="K52" s="95">
        <f>SUM(sumcapsalltable[202728])</f>
        <v>13797.849999999999</v>
      </c>
      <c r="L52" s="53"/>
      <c r="M52" s="25"/>
      <c r="N52" s="25"/>
      <c r="O52" s="25"/>
    </row>
    <row r="53" spans="1:15" ht="30" customHeight="1">
      <c r="A53" s="155"/>
      <c r="B53" s="156"/>
      <c r="C53" s="156"/>
      <c r="D53" s="156"/>
      <c r="E53" s="156"/>
      <c r="F53" s="156"/>
      <c r="G53" s="156"/>
      <c r="H53" s="156"/>
      <c r="I53" s="156"/>
      <c r="J53" s="156"/>
      <c r="K53" s="156"/>
      <c r="L53" s="156"/>
      <c r="M53" s="84"/>
      <c r="N53" s="84"/>
      <c r="O53" s="84"/>
    </row>
    <row r="54" spans="1:15" ht="44.25" customHeight="1">
      <c r="A54" s="155" t="s">
        <v>590</v>
      </c>
      <c r="B54" s="156"/>
      <c r="C54" s="156"/>
      <c r="D54" s="156"/>
      <c r="E54" s="156"/>
      <c r="F54" s="156"/>
      <c r="G54" s="156"/>
      <c r="H54" s="156"/>
      <c r="I54" s="156"/>
      <c r="J54" s="156"/>
      <c r="K54" s="156"/>
      <c r="L54" s="156"/>
    </row>
    <row r="55" spans="1:15" ht="42.75" customHeight="1">
      <c r="A55" s="155" t="s">
        <v>591</v>
      </c>
      <c r="B55" s="156"/>
      <c r="C55" s="156"/>
      <c r="D55" s="156"/>
      <c r="E55" s="156"/>
      <c r="F55" s="156"/>
      <c r="G55" s="156"/>
      <c r="H55" s="156"/>
      <c r="I55" s="156"/>
      <c r="J55" s="156"/>
      <c r="K55" s="156"/>
      <c r="L55" s="156"/>
    </row>
    <row r="56" spans="1:15" ht="50.25" customHeight="1">
      <c r="A56" s="155" t="s">
        <v>592</v>
      </c>
      <c r="B56" s="156"/>
      <c r="C56" s="156"/>
      <c r="D56" s="156"/>
      <c r="E56" s="156"/>
      <c r="F56" s="156"/>
      <c r="G56" s="156"/>
      <c r="H56" s="156"/>
      <c r="I56" s="156"/>
      <c r="J56" s="156"/>
      <c r="K56" s="156"/>
      <c r="L56" s="156"/>
    </row>
    <row r="57" spans="1:15">
      <c r="A57" s="155" t="s">
        <v>593</v>
      </c>
      <c r="B57" s="156"/>
      <c r="C57" s="156"/>
      <c r="D57" s="156"/>
      <c r="E57" s="156"/>
      <c r="F57" s="156"/>
      <c r="G57" s="156"/>
      <c r="H57" s="156"/>
      <c r="I57" s="156"/>
      <c r="J57" s="156"/>
      <c r="K57" s="156"/>
      <c r="L57" s="156"/>
    </row>
    <row r="58" spans="1:15" ht="15.75" thickBot="1"/>
    <row r="59" spans="1:15" ht="20.25" thickBot="1">
      <c r="A59" s="29" t="s">
        <v>594</v>
      </c>
    </row>
    <row r="60" spans="1:15" ht="15.75" thickBot="1">
      <c r="A60" s="125" t="s">
        <v>584</v>
      </c>
      <c r="B60" s="125" t="s">
        <v>731</v>
      </c>
      <c r="C60" s="125" t="s">
        <v>732</v>
      </c>
      <c r="D60" s="125" t="s">
        <v>733</v>
      </c>
      <c r="E60" s="125" t="s">
        <v>734</v>
      </c>
      <c r="F60" s="125" t="s">
        <v>735</v>
      </c>
      <c r="G60" s="125" t="s">
        <v>736</v>
      </c>
      <c r="H60" s="125" t="s">
        <v>737</v>
      </c>
      <c r="I60" s="125" t="s">
        <v>738</v>
      </c>
      <c r="J60" s="125" t="s">
        <v>739</v>
      </c>
      <c r="K60" s="125" t="s">
        <v>740</v>
      </c>
      <c r="L60" s="125" t="s">
        <v>683</v>
      </c>
      <c r="M60" s="56" t="s">
        <v>585</v>
      </c>
      <c r="N60" s="56" t="s">
        <v>7</v>
      </c>
      <c r="O60" s="56" t="s">
        <v>586</v>
      </c>
    </row>
    <row r="61" spans="1:15" ht="15.75" thickBot="1">
      <c r="A61" s="2" t="s">
        <v>17</v>
      </c>
      <c r="B61" s="96">
        <v>34</v>
      </c>
      <c r="C61" s="97">
        <v>34</v>
      </c>
      <c r="D61" s="96">
        <v>34</v>
      </c>
      <c r="E61" s="97">
        <v>34</v>
      </c>
      <c r="F61" s="96">
        <v>34</v>
      </c>
      <c r="G61" s="97">
        <v>34</v>
      </c>
      <c r="H61" s="96">
        <v>34</v>
      </c>
      <c r="I61" s="97">
        <v>34</v>
      </c>
      <c r="J61" s="96">
        <v>34</v>
      </c>
      <c r="K61" s="97">
        <v>34</v>
      </c>
      <c r="L61" s="6" t="s">
        <v>10</v>
      </c>
      <c r="M61" s="7" t="s">
        <v>587</v>
      </c>
      <c r="N61" s="6" t="s">
        <v>20</v>
      </c>
      <c r="O61" s="7" t="s">
        <v>588</v>
      </c>
    </row>
    <row r="62" spans="1:15" ht="15.75" thickBot="1">
      <c r="A62" s="2" t="s">
        <v>21</v>
      </c>
      <c r="B62" s="96">
        <v>66</v>
      </c>
      <c r="C62" s="97">
        <v>66</v>
      </c>
      <c r="D62" s="96">
        <v>66</v>
      </c>
      <c r="E62" s="97">
        <v>66</v>
      </c>
      <c r="F62" s="96">
        <v>66</v>
      </c>
      <c r="G62" s="97">
        <v>66</v>
      </c>
      <c r="H62" s="96">
        <v>66</v>
      </c>
      <c r="I62" s="97">
        <v>66</v>
      </c>
      <c r="J62" s="96">
        <v>66</v>
      </c>
      <c r="K62" s="97">
        <v>66</v>
      </c>
      <c r="L62" s="6" t="s">
        <v>10</v>
      </c>
      <c r="M62" s="7" t="s">
        <v>589</v>
      </c>
      <c r="N62" s="6" t="s">
        <v>20</v>
      </c>
      <c r="O62" s="7" t="s">
        <v>588</v>
      </c>
    </row>
    <row r="63" spans="1:15" ht="15.75" thickBot="1">
      <c r="A63" s="2" t="s">
        <v>31</v>
      </c>
      <c r="B63" s="96">
        <v>491</v>
      </c>
      <c r="C63" s="97">
        <v>491</v>
      </c>
      <c r="D63" s="96">
        <v>491</v>
      </c>
      <c r="E63" s="97">
        <v>491</v>
      </c>
      <c r="F63" s="96">
        <v>501</v>
      </c>
      <c r="G63" s="97">
        <v>501</v>
      </c>
      <c r="H63" s="96">
        <v>501</v>
      </c>
      <c r="I63" s="97">
        <v>501</v>
      </c>
      <c r="J63" s="96">
        <v>501</v>
      </c>
      <c r="K63" s="97">
        <v>501</v>
      </c>
      <c r="L63" s="6" t="s">
        <v>10</v>
      </c>
      <c r="M63" s="7" t="s">
        <v>587</v>
      </c>
      <c r="N63" s="6" t="s">
        <v>20</v>
      </c>
      <c r="O63" s="7" t="s">
        <v>588</v>
      </c>
    </row>
    <row r="64" spans="1:15" ht="15.75" thickBot="1">
      <c r="A64" s="2" t="s">
        <v>35</v>
      </c>
      <c r="B64" s="96">
        <v>495</v>
      </c>
      <c r="C64" s="97">
        <v>495</v>
      </c>
      <c r="D64" s="96">
        <v>495</v>
      </c>
      <c r="E64" s="97">
        <v>495</v>
      </c>
      <c r="F64" s="96">
        <v>495</v>
      </c>
      <c r="G64" s="97">
        <v>495</v>
      </c>
      <c r="H64" s="96">
        <v>495</v>
      </c>
      <c r="I64" s="97">
        <v>495</v>
      </c>
      <c r="J64" s="96">
        <v>495</v>
      </c>
      <c r="K64" s="97">
        <v>495</v>
      </c>
      <c r="L64" s="6" t="s">
        <v>10</v>
      </c>
      <c r="M64" s="7" t="s">
        <v>587</v>
      </c>
      <c r="N64" s="6" t="s">
        <v>20</v>
      </c>
      <c r="O64" s="7" t="s">
        <v>588</v>
      </c>
    </row>
    <row r="65" spans="1:15" ht="15.75" thickBot="1">
      <c r="A65" s="2" t="s">
        <v>41</v>
      </c>
      <c r="B65" s="96">
        <v>620</v>
      </c>
      <c r="C65" s="97">
        <v>700</v>
      </c>
      <c r="D65" s="96">
        <v>700</v>
      </c>
      <c r="E65" s="97">
        <v>700</v>
      </c>
      <c r="F65" s="96">
        <v>700</v>
      </c>
      <c r="G65" s="97">
        <v>700</v>
      </c>
      <c r="H65" s="96">
        <v>700</v>
      </c>
      <c r="I65" s="97">
        <v>700</v>
      </c>
      <c r="J65" s="96">
        <v>700</v>
      </c>
      <c r="K65" s="97">
        <v>700</v>
      </c>
      <c r="L65" s="6" t="s">
        <v>10</v>
      </c>
      <c r="M65" s="7" t="s">
        <v>587</v>
      </c>
      <c r="N65" s="6" t="s">
        <v>20</v>
      </c>
      <c r="O65" s="7" t="s">
        <v>588</v>
      </c>
    </row>
    <row r="66" spans="1:15" ht="15.75" thickBot="1">
      <c r="A66" s="2" t="s">
        <v>44</v>
      </c>
      <c r="B66" s="96">
        <v>840</v>
      </c>
      <c r="C66" s="97">
        <v>840</v>
      </c>
      <c r="D66" s="96">
        <v>840</v>
      </c>
      <c r="E66" s="97">
        <v>840</v>
      </c>
      <c r="F66" s="96">
        <v>840</v>
      </c>
      <c r="G66" s="97">
        <v>840</v>
      </c>
      <c r="H66" s="96">
        <v>840</v>
      </c>
      <c r="I66" s="97">
        <v>840</v>
      </c>
      <c r="J66" s="96">
        <v>840</v>
      </c>
      <c r="K66" s="97">
        <v>840</v>
      </c>
      <c r="L66" s="6" t="s">
        <v>10</v>
      </c>
      <c r="M66" s="7" t="s">
        <v>587</v>
      </c>
      <c r="N66" s="6" t="s">
        <v>20</v>
      </c>
      <c r="O66" s="7" t="s">
        <v>588</v>
      </c>
    </row>
    <row r="67" spans="1:15" ht="15.75" thickBot="1">
      <c r="A67" s="2" t="s">
        <v>52</v>
      </c>
      <c r="B67" s="96">
        <v>89.5</v>
      </c>
      <c r="C67" s="97">
        <v>89.5</v>
      </c>
      <c r="D67" s="96">
        <v>89.5</v>
      </c>
      <c r="E67" s="97">
        <v>89.5</v>
      </c>
      <c r="F67" s="96">
        <v>89.5</v>
      </c>
      <c r="G67" s="97">
        <v>89.5</v>
      </c>
      <c r="H67" s="96">
        <v>89.5</v>
      </c>
      <c r="I67" s="97">
        <v>89.5</v>
      </c>
      <c r="J67" s="96">
        <v>89.5</v>
      </c>
      <c r="K67" s="97">
        <v>89.5</v>
      </c>
      <c r="L67" s="6" t="s">
        <v>10</v>
      </c>
      <c r="M67" s="7" t="s">
        <v>587</v>
      </c>
      <c r="N67" s="6" t="s">
        <v>20</v>
      </c>
      <c r="O67" s="7" t="s">
        <v>588</v>
      </c>
    </row>
    <row r="68" spans="1:15" ht="15.75" thickBot="1">
      <c r="A68" s="2" t="s">
        <v>56</v>
      </c>
      <c r="B68" s="96">
        <v>580</v>
      </c>
      <c r="C68" s="97">
        <v>580</v>
      </c>
      <c r="D68" s="96">
        <v>580</v>
      </c>
      <c r="E68" s="97">
        <v>580</v>
      </c>
      <c r="F68" s="96">
        <v>580</v>
      </c>
      <c r="G68" s="97">
        <v>580</v>
      </c>
      <c r="H68" s="96">
        <v>580</v>
      </c>
      <c r="I68" s="97">
        <v>580</v>
      </c>
      <c r="J68" s="96">
        <v>580</v>
      </c>
      <c r="K68" s="97">
        <v>580</v>
      </c>
      <c r="L68" s="6" t="s">
        <v>10</v>
      </c>
      <c r="M68" s="7" t="s">
        <v>587</v>
      </c>
      <c r="N68" s="6" t="s">
        <v>20</v>
      </c>
      <c r="O68" s="7" t="s">
        <v>588</v>
      </c>
    </row>
    <row r="69" spans="1:15" ht="15.75" thickBot="1">
      <c r="A69" s="2" t="s">
        <v>59</v>
      </c>
      <c r="B69" s="96">
        <v>1680</v>
      </c>
      <c r="C69" s="97">
        <v>1680</v>
      </c>
      <c r="D69" s="96">
        <v>1680</v>
      </c>
      <c r="E69" s="97">
        <v>1680</v>
      </c>
      <c r="F69" s="96">
        <v>1680</v>
      </c>
      <c r="G69" s="97">
        <v>1680</v>
      </c>
      <c r="H69" s="96">
        <v>1680</v>
      </c>
      <c r="I69" s="97">
        <v>1680</v>
      </c>
      <c r="J69" s="96">
        <v>1680</v>
      </c>
      <c r="K69" s="97">
        <v>1680</v>
      </c>
      <c r="L69" s="6" t="s">
        <v>10</v>
      </c>
      <c r="M69" s="7" t="s">
        <v>587</v>
      </c>
      <c r="N69" s="6" t="s">
        <v>20</v>
      </c>
      <c r="O69" s="7" t="s">
        <v>588</v>
      </c>
    </row>
    <row r="70" spans="1:15" ht="15.75" thickBot="1">
      <c r="A70" s="2" t="s">
        <v>63</v>
      </c>
      <c r="B70" s="96">
        <v>86.4</v>
      </c>
      <c r="C70" s="97">
        <v>86.4</v>
      </c>
      <c r="D70" s="96">
        <v>86.4</v>
      </c>
      <c r="E70" s="97">
        <v>86.4</v>
      </c>
      <c r="F70" s="96">
        <v>86.4</v>
      </c>
      <c r="G70" s="97">
        <v>86.4</v>
      </c>
      <c r="H70" s="96">
        <v>86.4</v>
      </c>
      <c r="I70" s="97">
        <v>86.4</v>
      </c>
      <c r="J70" s="96">
        <v>86.4</v>
      </c>
      <c r="K70" s="97">
        <v>86.4</v>
      </c>
      <c r="L70" s="6" t="s">
        <v>10</v>
      </c>
      <c r="M70" s="7" t="s">
        <v>589</v>
      </c>
      <c r="N70" s="6" t="s">
        <v>20</v>
      </c>
      <c r="O70" s="7" t="s">
        <v>588</v>
      </c>
    </row>
    <row r="71" spans="1:15" ht="15.75" thickBot="1">
      <c r="A71" s="2" t="s">
        <v>68</v>
      </c>
      <c r="B71" s="96">
        <v>713</v>
      </c>
      <c r="C71" s="97">
        <v>713</v>
      </c>
      <c r="D71" s="96">
        <v>713</v>
      </c>
      <c r="E71" s="97">
        <v>713</v>
      </c>
      <c r="F71" s="96">
        <v>713</v>
      </c>
      <c r="G71" s="97">
        <v>713</v>
      </c>
      <c r="H71" s="96">
        <v>713</v>
      </c>
      <c r="I71" s="97">
        <v>713</v>
      </c>
      <c r="J71" s="96">
        <v>713</v>
      </c>
      <c r="K71" s="97">
        <v>713</v>
      </c>
      <c r="L71" s="6" t="s">
        <v>10</v>
      </c>
      <c r="M71" s="7" t="s">
        <v>587</v>
      </c>
      <c r="N71" s="6" t="s">
        <v>20</v>
      </c>
      <c r="O71" s="7" t="s">
        <v>588</v>
      </c>
    </row>
    <row r="72" spans="1:15" ht="15.75" thickBot="1">
      <c r="A72" s="2" t="s">
        <v>72</v>
      </c>
      <c r="B72" s="96">
        <v>34</v>
      </c>
      <c r="C72" s="97">
        <v>34</v>
      </c>
      <c r="D72" s="96">
        <v>34</v>
      </c>
      <c r="E72" s="97">
        <v>0</v>
      </c>
      <c r="F72" s="96">
        <v>0</v>
      </c>
      <c r="G72" s="97">
        <v>0</v>
      </c>
      <c r="H72" s="96">
        <v>0</v>
      </c>
      <c r="I72" s="97">
        <v>0</v>
      </c>
      <c r="J72" s="96">
        <v>0</v>
      </c>
      <c r="K72" s="97">
        <v>0</v>
      </c>
      <c r="L72" s="6" t="s">
        <v>10</v>
      </c>
      <c r="M72" s="7" t="s">
        <v>587</v>
      </c>
      <c r="N72" s="6" t="s">
        <v>20</v>
      </c>
      <c r="O72" s="7" t="s">
        <v>588</v>
      </c>
    </row>
    <row r="73" spans="1:15" ht="15.75" thickBot="1">
      <c r="A73" s="2" t="s">
        <v>74</v>
      </c>
      <c r="B73" s="96">
        <v>612</v>
      </c>
      <c r="C73" s="97">
        <v>612</v>
      </c>
      <c r="D73" s="96">
        <v>612</v>
      </c>
      <c r="E73" s="97">
        <v>612</v>
      </c>
      <c r="F73" s="96">
        <v>612</v>
      </c>
      <c r="G73" s="97">
        <v>612</v>
      </c>
      <c r="H73" s="96">
        <v>612</v>
      </c>
      <c r="I73" s="97">
        <v>612</v>
      </c>
      <c r="J73" s="96">
        <v>612</v>
      </c>
      <c r="K73" s="97">
        <v>612</v>
      </c>
      <c r="L73" s="6" t="s">
        <v>10</v>
      </c>
      <c r="M73" s="7" t="s">
        <v>587</v>
      </c>
      <c r="N73" s="6" t="s">
        <v>20</v>
      </c>
      <c r="O73" s="7" t="s">
        <v>588</v>
      </c>
    </row>
    <row r="74" spans="1:15" ht="15.75" thickBot="1">
      <c r="A74" s="2" t="s">
        <v>77</v>
      </c>
      <c r="B74" s="96">
        <v>400</v>
      </c>
      <c r="C74" s="97">
        <v>400</v>
      </c>
      <c r="D74" s="96">
        <v>400</v>
      </c>
      <c r="E74" s="97">
        <v>400</v>
      </c>
      <c r="F74" s="96">
        <v>400</v>
      </c>
      <c r="G74" s="97">
        <v>400</v>
      </c>
      <c r="H74" s="96">
        <v>400</v>
      </c>
      <c r="I74" s="97">
        <v>400</v>
      </c>
      <c r="J74" s="96">
        <v>400</v>
      </c>
      <c r="K74" s="97">
        <v>400</v>
      </c>
      <c r="L74" s="6" t="s">
        <v>10</v>
      </c>
      <c r="M74" s="7" t="s">
        <v>587</v>
      </c>
      <c r="N74" s="6" t="s">
        <v>20</v>
      </c>
      <c r="O74" s="7" t="s">
        <v>588</v>
      </c>
    </row>
    <row r="75" spans="1:15" ht="15.75" thickBot="1">
      <c r="A75" s="2" t="s">
        <v>79</v>
      </c>
      <c r="B75" s="96">
        <v>282</v>
      </c>
      <c r="C75" s="97">
        <v>282</v>
      </c>
      <c r="D75" s="96">
        <v>282</v>
      </c>
      <c r="E75" s="97">
        <v>282</v>
      </c>
      <c r="F75" s="96">
        <v>282</v>
      </c>
      <c r="G75" s="97">
        <v>282</v>
      </c>
      <c r="H75" s="96">
        <v>282</v>
      </c>
      <c r="I75" s="97">
        <v>282</v>
      </c>
      <c r="J75" s="96">
        <v>282</v>
      </c>
      <c r="K75" s="97">
        <v>282</v>
      </c>
      <c r="L75" s="6" t="s">
        <v>10</v>
      </c>
      <c r="M75" s="7" t="s">
        <v>587</v>
      </c>
      <c r="N75" s="6" t="s">
        <v>20</v>
      </c>
      <c r="O75" s="7" t="s">
        <v>588</v>
      </c>
    </row>
    <row r="76" spans="1:15" ht="15.75" thickBot="1">
      <c r="A76" s="2" t="s">
        <v>82</v>
      </c>
      <c r="B76" s="96">
        <v>54</v>
      </c>
      <c r="C76" s="97">
        <v>54</v>
      </c>
      <c r="D76" s="96">
        <v>54</v>
      </c>
      <c r="E76" s="97">
        <v>54</v>
      </c>
      <c r="F76" s="96">
        <v>54</v>
      </c>
      <c r="G76" s="97">
        <v>54</v>
      </c>
      <c r="H76" s="96">
        <v>54</v>
      </c>
      <c r="I76" s="97">
        <v>54</v>
      </c>
      <c r="J76" s="96">
        <v>54</v>
      </c>
      <c r="K76" s="97">
        <v>54</v>
      </c>
      <c r="L76" s="6" t="s">
        <v>10</v>
      </c>
      <c r="M76" s="7" t="s">
        <v>587</v>
      </c>
      <c r="N76" s="6" t="s">
        <v>20</v>
      </c>
      <c r="O76" s="7" t="s">
        <v>588</v>
      </c>
    </row>
    <row r="77" spans="1:15" ht="15.75" thickBot="1">
      <c r="A77" s="2" t="s">
        <v>83</v>
      </c>
      <c r="B77" s="96">
        <v>1460</v>
      </c>
      <c r="C77" s="97">
        <v>1460</v>
      </c>
      <c r="D77" s="96">
        <v>1460</v>
      </c>
      <c r="E77" s="97">
        <v>1460</v>
      </c>
      <c r="F77" s="96">
        <v>1460</v>
      </c>
      <c r="G77" s="97">
        <v>1460</v>
      </c>
      <c r="H77" s="96">
        <v>1460</v>
      </c>
      <c r="I77" s="97">
        <v>1460</v>
      </c>
      <c r="J77" s="96">
        <v>1460</v>
      </c>
      <c r="K77" s="97">
        <v>1460</v>
      </c>
      <c r="L77" s="6" t="s">
        <v>10</v>
      </c>
      <c r="M77" s="7" t="s">
        <v>587</v>
      </c>
      <c r="N77" s="6" t="s">
        <v>20</v>
      </c>
      <c r="O77" s="7" t="s">
        <v>588</v>
      </c>
    </row>
    <row r="78" spans="1:15" ht="15.75" thickBot="1">
      <c r="A78" s="2" t="s">
        <v>85</v>
      </c>
      <c r="B78" s="96">
        <v>350</v>
      </c>
      <c r="C78" s="97">
        <v>350</v>
      </c>
      <c r="D78" s="96">
        <v>350</v>
      </c>
      <c r="E78" s="97">
        <v>350</v>
      </c>
      <c r="F78" s="96">
        <v>350</v>
      </c>
      <c r="G78" s="97">
        <v>350</v>
      </c>
      <c r="H78" s="96">
        <v>350</v>
      </c>
      <c r="I78" s="97">
        <v>350</v>
      </c>
      <c r="J78" s="96">
        <v>350</v>
      </c>
      <c r="K78" s="97">
        <v>350</v>
      </c>
      <c r="L78" s="6" t="s">
        <v>10</v>
      </c>
      <c r="M78" s="7" t="s">
        <v>587</v>
      </c>
      <c r="N78" s="6" t="s">
        <v>20</v>
      </c>
      <c r="O78" s="7" t="s">
        <v>588</v>
      </c>
    </row>
    <row r="79" spans="1:15" ht="15.75" thickBot="1">
      <c r="A79" s="2" t="s">
        <v>88</v>
      </c>
      <c r="B79" s="96">
        <v>1400</v>
      </c>
      <c r="C79" s="97">
        <v>1400</v>
      </c>
      <c r="D79" s="96">
        <v>1400</v>
      </c>
      <c r="E79" s="97">
        <v>1400</v>
      </c>
      <c r="F79" s="96">
        <v>1400</v>
      </c>
      <c r="G79" s="97">
        <v>1400</v>
      </c>
      <c r="H79" s="96">
        <v>1400</v>
      </c>
      <c r="I79" s="97">
        <v>1400</v>
      </c>
      <c r="J79" s="96">
        <v>1400</v>
      </c>
      <c r="K79" s="97">
        <v>1400</v>
      </c>
      <c r="L79" s="6" t="s">
        <v>10</v>
      </c>
      <c r="M79" s="7" t="s">
        <v>587</v>
      </c>
      <c r="N79" s="6" t="s">
        <v>20</v>
      </c>
      <c r="O79" s="7" t="s">
        <v>588</v>
      </c>
    </row>
    <row r="80" spans="1:15" ht="15.75" thickBot="1">
      <c r="A80" s="2" t="s">
        <v>90</v>
      </c>
      <c r="B80" s="96">
        <v>443</v>
      </c>
      <c r="C80" s="97">
        <v>443</v>
      </c>
      <c r="D80" s="96">
        <v>443</v>
      </c>
      <c r="E80" s="97">
        <v>443</v>
      </c>
      <c r="F80" s="96">
        <v>443</v>
      </c>
      <c r="G80" s="97">
        <v>443</v>
      </c>
      <c r="H80" s="96">
        <v>443</v>
      </c>
      <c r="I80" s="97">
        <v>443</v>
      </c>
      <c r="J80" s="96">
        <v>443</v>
      </c>
      <c r="K80" s="97">
        <v>443</v>
      </c>
      <c r="L80" s="6" t="s">
        <v>10</v>
      </c>
      <c r="M80" s="7" t="s">
        <v>587</v>
      </c>
      <c r="N80" s="6" t="s">
        <v>20</v>
      </c>
      <c r="O80" s="7" t="s">
        <v>588</v>
      </c>
    </row>
    <row r="81" spans="1:15" ht="15.75" thickBot="1">
      <c r="A81" s="2" t="s">
        <v>92</v>
      </c>
      <c r="B81" s="96">
        <v>155</v>
      </c>
      <c r="C81" s="97">
        <v>155</v>
      </c>
      <c r="D81" s="96">
        <v>233</v>
      </c>
      <c r="E81" s="97">
        <v>233</v>
      </c>
      <c r="F81" s="96">
        <v>232</v>
      </c>
      <c r="G81" s="97">
        <v>232</v>
      </c>
      <c r="H81" s="96">
        <v>231</v>
      </c>
      <c r="I81" s="97">
        <v>231</v>
      </c>
      <c r="J81" s="96">
        <v>231</v>
      </c>
      <c r="K81" s="97">
        <v>231</v>
      </c>
      <c r="L81" s="6" t="s">
        <v>10</v>
      </c>
      <c r="M81" s="7" t="s">
        <v>587</v>
      </c>
      <c r="N81" s="6" t="s">
        <v>20</v>
      </c>
      <c r="O81" s="7" t="s">
        <v>588</v>
      </c>
    </row>
    <row r="82" spans="1:15" ht="15.75" thickBot="1">
      <c r="A82" s="2" t="s">
        <v>94</v>
      </c>
      <c r="B82" s="96">
        <v>570</v>
      </c>
      <c r="C82" s="97">
        <v>570</v>
      </c>
      <c r="D82" s="96">
        <v>570</v>
      </c>
      <c r="E82" s="97">
        <v>570</v>
      </c>
      <c r="F82" s="96">
        <v>570</v>
      </c>
      <c r="G82" s="97">
        <v>570</v>
      </c>
      <c r="H82" s="96">
        <v>570</v>
      </c>
      <c r="I82" s="97">
        <v>570</v>
      </c>
      <c r="J82" s="96">
        <v>570</v>
      </c>
      <c r="K82" s="97">
        <v>570</v>
      </c>
      <c r="L82" s="6" t="s">
        <v>10</v>
      </c>
      <c r="M82" s="7" t="s">
        <v>589</v>
      </c>
      <c r="N82" s="6" t="s">
        <v>20</v>
      </c>
      <c r="O82" s="7" t="s">
        <v>588</v>
      </c>
    </row>
    <row r="83" spans="1:15" ht="15.75" thickBot="1">
      <c r="B83" s="94"/>
      <c r="C83" s="94"/>
      <c r="D83" s="94"/>
      <c r="E83" s="94"/>
      <c r="F83" s="94"/>
      <c r="G83" s="94"/>
      <c r="H83" s="94"/>
      <c r="I83" s="94"/>
      <c r="J83" s="94"/>
      <c r="K83" s="94"/>
    </row>
    <row r="84" spans="1:15" ht="15.75" thickBot="1">
      <c r="A84" s="2" t="s">
        <v>595</v>
      </c>
      <c r="B84" s="96" t="s">
        <v>596</v>
      </c>
      <c r="C84" s="97" t="s">
        <v>596</v>
      </c>
      <c r="D84" s="96" t="s">
        <v>596</v>
      </c>
      <c r="E84" s="97" t="s">
        <v>596</v>
      </c>
      <c r="F84" s="96" t="s">
        <v>596</v>
      </c>
      <c r="G84" s="97" t="s">
        <v>596</v>
      </c>
      <c r="H84" s="96" t="s">
        <v>596</v>
      </c>
      <c r="I84" s="97" t="s">
        <v>596</v>
      </c>
      <c r="J84" s="96" t="s">
        <v>596</v>
      </c>
      <c r="K84" s="97" t="s">
        <v>596</v>
      </c>
      <c r="L84" s="6" t="s">
        <v>14</v>
      </c>
    </row>
    <row r="85" spans="1:15" ht="15.75" thickBot="1">
      <c r="A85" s="2" t="s">
        <v>597</v>
      </c>
      <c r="B85" s="96" t="s">
        <v>596</v>
      </c>
      <c r="C85" s="97" t="s">
        <v>596</v>
      </c>
      <c r="D85" s="96" t="s">
        <v>596</v>
      </c>
      <c r="E85" s="97" t="s">
        <v>596</v>
      </c>
      <c r="F85" s="96" t="s">
        <v>596</v>
      </c>
      <c r="G85" s="97" t="s">
        <v>596</v>
      </c>
      <c r="H85" s="96" t="s">
        <v>596</v>
      </c>
      <c r="I85" s="97" t="s">
        <v>596</v>
      </c>
      <c r="J85" s="96" t="s">
        <v>596</v>
      </c>
      <c r="K85" s="97" t="s">
        <v>596</v>
      </c>
      <c r="L85" s="6" t="s">
        <v>14</v>
      </c>
    </row>
    <row r="86" spans="1:15" ht="15.75" thickBot="1">
      <c r="A86" s="54" t="s">
        <v>96</v>
      </c>
      <c r="B86" s="95">
        <f>SUM(sumcapsstable[201819])</f>
        <v>11454.9</v>
      </c>
      <c r="C86" s="95">
        <f>SUM(sumcapsstable[201920])</f>
        <v>11534.9</v>
      </c>
      <c r="D86" s="95">
        <f>SUM(sumcapsstable[202021])</f>
        <v>11612.9</v>
      </c>
      <c r="E86" s="95">
        <f>SUM(sumcapsstable[202122])</f>
        <v>11578.9</v>
      </c>
      <c r="F86" s="95">
        <f>SUM(sumcapsstable[202223])</f>
        <v>11587.9</v>
      </c>
      <c r="G86" s="95">
        <f>SUM(sumcapsstable[202324])</f>
        <v>11587.9</v>
      </c>
      <c r="H86" s="95">
        <f>SUM(sumcapsstable[202425])</f>
        <v>11586.9</v>
      </c>
      <c r="I86" s="95">
        <f>SUM(sumcapsstable[202526])</f>
        <v>11586.9</v>
      </c>
      <c r="J86" s="95">
        <f>SUM(sumcapsstable[202627])</f>
        <v>11586.9</v>
      </c>
      <c r="K86" s="95">
        <f>SUM(sumcapsstable[202728])</f>
        <v>11586.9</v>
      </c>
      <c r="L86" s="55"/>
    </row>
    <row r="87" spans="1:15" ht="15.75" thickBot="1"/>
    <row r="88" spans="1:15" ht="20.25" thickBot="1">
      <c r="A88" s="29" t="s">
        <v>598</v>
      </c>
    </row>
    <row r="89" spans="1:15" ht="15.75" thickBot="1">
      <c r="A89" s="125" t="s">
        <v>584</v>
      </c>
      <c r="B89" s="125" t="s">
        <v>731</v>
      </c>
      <c r="C89" s="125" t="s">
        <v>732</v>
      </c>
      <c r="D89" s="125" t="s">
        <v>733</v>
      </c>
      <c r="E89" s="125" t="s">
        <v>734</v>
      </c>
      <c r="F89" s="125" t="s">
        <v>735</v>
      </c>
      <c r="G89" s="125" t="s">
        <v>736</v>
      </c>
      <c r="H89" s="125" t="s">
        <v>737</v>
      </c>
      <c r="I89" s="125" t="s">
        <v>738</v>
      </c>
      <c r="J89" s="125" t="s">
        <v>739</v>
      </c>
      <c r="K89" s="125" t="s">
        <v>740</v>
      </c>
      <c r="L89" s="125" t="s">
        <v>683</v>
      </c>
      <c r="M89" s="63" t="s">
        <v>585</v>
      </c>
      <c r="N89" s="63" t="s">
        <v>7</v>
      </c>
      <c r="O89" s="63" t="s">
        <v>586</v>
      </c>
    </row>
    <row r="90" spans="1:15" ht="15.75" thickBot="1">
      <c r="A90" s="18" t="s">
        <v>303</v>
      </c>
      <c r="B90" s="88">
        <v>56</v>
      </c>
      <c r="C90" s="89">
        <v>56</v>
      </c>
      <c r="D90" s="88">
        <v>56</v>
      </c>
      <c r="E90" s="89">
        <v>56</v>
      </c>
      <c r="F90" s="88">
        <v>56</v>
      </c>
      <c r="G90" s="89">
        <v>56</v>
      </c>
      <c r="H90" s="88">
        <v>56</v>
      </c>
      <c r="I90" s="89">
        <v>56</v>
      </c>
      <c r="J90" s="88">
        <v>56</v>
      </c>
      <c r="K90" s="89">
        <v>56</v>
      </c>
      <c r="L90" s="76" t="s">
        <v>14</v>
      </c>
      <c r="M90" s="22" t="s">
        <v>40</v>
      </c>
      <c r="N90" s="76" t="s">
        <v>20</v>
      </c>
      <c r="O90" s="22" t="s">
        <v>588</v>
      </c>
    </row>
    <row r="91" spans="1:15" ht="15.75" thickBot="1">
      <c r="A91" s="17" t="s">
        <v>48</v>
      </c>
      <c r="B91" s="90">
        <v>100</v>
      </c>
      <c r="C91" s="91">
        <v>99.3</v>
      </c>
      <c r="D91" s="90">
        <v>98.6</v>
      </c>
      <c r="E91" s="91">
        <v>97.9</v>
      </c>
      <c r="F91" s="90">
        <v>97.2</v>
      </c>
      <c r="G91" s="91">
        <v>96.5</v>
      </c>
      <c r="H91" s="90">
        <v>95.9</v>
      </c>
      <c r="I91" s="91">
        <v>95.2</v>
      </c>
      <c r="J91" s="90">
        <v>94.5</v>
      </c>
      <c r="K91" s="91">
        <v>93.9</v>
      </c>
      <c r="L91" s="75" t="s">
        <v>14</v>
      </c>
      <c r="M91" s="21" t="s">
        <v>40</v>
      </c>
      <c r="N91" s="75" t="s">
        <v>20</v>
      </c>
      <c r="O91" s="21" t="s">
        <v>588</v>
      </c>
    </row>
    <row r="92" spans="1:15" ht="15.75" thickBot="1">
      <c r="A92" s="17" t="s">
        <v>101</v>
      </c>
      <c r="B92" s="90">
        <v>75</v>
      </c>
      <c r="C92" s="91">
        <v>75</v>
      </c>
      <c r="D92" s="90">
        <v>75</v>
      </c>
      <c r="E92" s="91">
        <v>75</v>
      </c>
      <c r="F92" s="90">
        <v>75</v>
      </c>
      <c r="G92" s="91">
        <v>75</v>
      </c>
      <c r="H92" s="90">
        <v>75</v>
      </c>
      <c r="I92" s="91">
        <v>75</v>
      </c>
      <c r="J92" s="90">
        <v>75</v>
      </c>
      <c r="K92" s="91">
        <v>75</v>
      </c>
      <c r="L92" s="75" t="s">
        <v>14</v>
      </c>
      <c r="M92" s="21" t="s">
        <v>40</v>
      </c>
      <c r="N92" s="75" t="s">
        <v>20</v>
      </c>
      <c r="O92" s="21" t="s">
        <v>588</v>
      </c>
    </row>
    <row r="93" spans="1:15" ht="15.75" thickBot="1">
      <c r="A93" s="17" t="s">
        <v>103</v>
      </c>
      <c r="B93" s="90">
        <v>42.5</v>
      </c>
      <c r="C93" s="91">
        <v>42.5</v>
      </c>
      <c r="D93" s="90">
        <v>42.5</v>
      </c>
      <c r="E93" s="91">
        <v>42.5</v>
      </c>
      <c r="F93" s="90">
        <v>42.5</v>
      </c>
      <c r="G93" s="91">
        <v>42.5</v>
      </c>
      <c r="H93" s="90">
        <v>42.5</v>
      </c>
      <c r="I93" s="91">
        <v>42.5</v>
      </c>
      <c r="J93" s="90">
        <v>42.5</v>
      </c>
      <c r="K93" s="91">
        <v>42.5</v>
      </c>
      <c r="L93" s="75" t="s">
        <v>14</v>
      </c>
      <c r="M93" s="21" t="s">
        <v>40</v>
      </c>
      <c r="N93" s="75" t="s">
        <v>20</v>
      </c>
      <c r="O93" s="21" t="s">
        <v>588</v>
      </c>
    </row>
    <row r="94" spans="1:15" ht="15.75" thickBot="1">
      <c r="A94" s="17" t="s">
        <v>105</v>
      </c>
      <c r="B94" s="90">
        <v>100</v>
      </c>
      <c r="C94" s="91">
        <v>350</v>
      </c>
      <c r="D94" s="90">
        <v>350</v>
      </c>
      <c r="E94" s="91">
        <v>350</v>
      </c>
      <c r="F94" s="90">
        <v>350</v>
      </c>
      <c r="G94" s="91">
        <v>350</v>
      </c>
      <c r="H94" s="90">
        <v>350</v>
      </c>
      <c r="I94" s="91">
        <v>350</v>
      </c>
      <c r="J94" s="90">
        <v>350</v>
      </c>
      <c r="K94" s="91">
        <v>350</v>
      </c>
      <c r="L94" s="75" t="s">
        <v>14</v>
      </c>
      <c r="M94" s="21" t="s">
        <v>13</v>
      </c>
      <c r="N94" s="75" t="s">
        <v>20</v>
      </c>
      <c r="O94" s="21" t="s">
        <v>588</v>
      </c>
    </row>
    <row r="95" spans="1:15" ht="15.75" thickBot="1">
      <c r="A95" s="17" t="s">
        <v>107</v>
      </c>
      <c r="B95" s="90">
        <v>108.5</v>
      </c>
      <c r="C95" s="91">
        <v>108.5</v>
      </c>
      <c r="D95" s="90">
        <v>108.5</v>
      </c>
      <c r="E95" s="91">
        <v>108.5</v>
      </c>
      <c r="F95" s="90">
        <v>108.5</v>
      </c>
      <c r="G95" s="91">
        <v>108.5</v>
      </c>
      <c r="H95" s="90">
        <v>108.5</v>
      </c>
      <c r="I95" s="91">
        <v>108.5</v>
      </c>
      <c r="J95" s="90">
        <v>108.5</v>
      </c>
      <c r="K95" s="91">
        <v>108.5</v>
      </c>
      <c r="L95" s="75" t="s">
        <v>14</v>
      </c>
      <c r="M95" s="21" t="s">
        <v>40</v>
      </c>
      <c r="N95" s="75" t="s">
        <v>20</v>
      </c>
      <c r="O95" s="21" t="s">
        <v>588</v>
      </c>
    </row>
    <row r="96" spans="1:15" ht="15.75" thickBot="1">
      <c r="A96" s="17" t="s">
        <v>108</v>
      </c>
      <c r="B96" s="90">
        <v>150</v>
      </c>
      <c r="C96" s="91">
        <v>150</v>
      </c>
      <c r="D96" s="90">
        <v>150</v>
      </c>
      <c r="E96" s="91">
        <v>150</v>
      </c>
      <c r="F96" s="90">
        <v>150</v>
      </c>
      <c r="G96" s="91">
        <v>150</v>
      </c>
      <c r="H96" s="90">
        <v>150</v>
      </c>
      <c r="I96" s="91">
        <v>150</v>
      </c>
      <c r="J96" s="90">
        <v>150</v>
      </c>
      <c r="K96" s="91">
        <v>150</v>
      </c>
      <c r="L96" s="75" t="s">
        <v>14</v>
      </c>
      <c r="M96" s="21" t="s">
        <v>40</v>
      </c>
      <c r="N96" s="75" t="s">
        <v>20</v>
      </c>
      <c r="O96" s="21" t="s">
        <v>588</v>
      </c>
    </row>
    <row r="97" spans="1:15" ht="15.75" thickBot="1">
      <c r="A97" s="17" t="s">
        <v>328</v>
      </c>
      <c r="B97" s="90">
        <v>72</v>
      </c>
      <c r="C97" s="91">
        <v>72</v>
      </c>
      <c r="D97" s="90">
        <v>72</v>
      </c>
      <c r="E97" s="91">
        <v>72</v>
      </c>
      <c r="F97" s="90">
        <v>72</v>
      </c>
      <c r="G97" s="91">
        <v>72</v>
      </c>
      <c r="H97" s="90">
        <v>72</v>
      </c>
      <c r="I97" s="91">
        <v>72</v>
      </c>
      <c r="J97" s="90">
        <v>72</v>
      </c>
      <c r="K97" s="91">
        <v>72</v>
      </c>
      <c r="L97" s="75" t="s">
        <v>14</v>
      </c>
      <c r="M97" s="21" t="s">
        <v>40</v>
      </c>
      <c r="N97" s="75" t="s">
        <v>20</v>
      </c>
      <c r="O97" s="21" t="s">
        <v>588</v>
      </c>
    </row>
    <row r="98" spans="1:15" ht="15.75" thickBot="1">
      <c r="A98" s="17" t="s">
        <v>352</v>
      </c>
      <c r="B98" s="90">
        <v>57.5</v>
      </c>
      <c r="C98" s="91">
        <v>57.5</v>
      </c>
      <c r="D98" s="90">
        <v>57.5</v>
      </c>
      <c r="E98" s="91">
        <v>57.5</v>
      </c>
      <c r="F98" s="90">
        <v>57.5</v>
      </c>
      <c r="G98" s="91">
        <v>57.5</v>
      </c>
      <c r="H98" s="90">
        <v>57.5</v>
      </c>
      <c r="I98" s="91">
        <v>57.5</v>
      </c>
      <c r="J98" s="90">
        <v>57.5</v>
      </c>
      <c r="K98" s="91">
        <v>57.5</v>
      </c>
      <c r="L98" s="75" t="s">
        <v>14</v>
      </c>
      <c r="M98" s="21" t="s">
        <v>40</v>
      </c>
      <c r="N98" s="75" t="s">
        <v>20</v>
      </c>
      <c r="O98" s="21" t="s">
        <v>588</v>
      </c>
    </row>
    <row r="99" spans="1:15" ht="15.75" thickBot="1">
      <c r="A99" s="17" t="s">
        <v>110</v>
      </c>
      <c r="B99" s="90">
        <v>100</v>
      </c>
      <c r="C99" s="91">
        <v>100</v>
      </c>
      <c r="D99" s="90">
        <v>100</v>
      </c>
      <c r="E99" s="91">
        <v>100</v>
      </c>
      <c r="F99" s="90">
        <v>100</v>
      </c>
      <c r="G99" s="91">
        <v>100</v>
      </c>
      <c r="H99" s="90">
        <v>100</v>
      </c>
      <c r="I99" s="91">
        <v>100</v>
      </c>
      <c r="J99" s="90">
        <v>100</v>
      </c>
      <c r="K99" s="91">
        <v>100</v>
      </c>
      <c r="L99" s="75" t="s">
        <v>14</v>
      </c>
      <c r="M99" s="21" t="s">
        <v>40</v>
      </c>
      <c r="N99" s="75" t="s">
        <v>20</v>
      </c>
      <c r="O99" s="21" t="s">
        <v>588</v>
      </c>
    </row>
    <row r="100" spans="1:15" ht="15.75" thickBot="1">
      <c r="A100" s="17" t="s">
        <v>112</v>
      </c>
      <c r="B100" s="90">
        <v>50</v>
      </c>
      <c r="C100" s="91">
        <v>50</v>
      </c>
      <c r="D100" s="90">
        <v>50</v>
      </c>
      <c r="E100" s="91">
        <v>50</v>
      </c>
      <c r="F100" s="90">
        <v>50</v>
      </c>
      <c r="G100" s="91">
        <v>50</v>
      </c>
      <c r="H100" s="90">
        <v>50</v>
      </c>
      <c r="I100" s="91">
        <v>50</v>
      </c>
      <c r="J100" s="90">
        <v>50</v>
      </c>
      <c r="K100" s="91">
        <v>50</v>
      </c>
      <c r="L100" s="75" t="s">
        <v>14</v>
      </c>
      <c r="M100" s="21" t="s">
        <v>40</v>
      </c>
      <c r="N100" s="75" t="s">
        <v>20</v>
      </c>
      <c r="O100" s="21" t="s">
        <v>588</v>
      </c>
    </row>
    <row r="101" spans="1:15" ht="15.75" thickBot="1">
      <c r="A101" s="17" t="s">
        <v>113</v>
      </c>
      <c r="B101" s="90">
        <v>0</v>
      </c>
      <c r="C101" s="91">
        <v>15</v>
      </c>
      <c r="D101" s="90">
        <v>15</v>
      </c>
      <c r="E101" s="91">
        <v>15</v>
      </c>
      <c r="F101" s="90">
        <v>15</v>
      </c>
      <c r="G101" s="91">
        <v>15</v>
      </c>
      <c r="H101" s="90">
        <v>15</v>
      </c>
      <c r="I101" s="91">
        <v>15</v>
      </c>
      <c r="J101" s="90">
        <v>15</v>
      </c>
      <c r="K101" s="91">
        <v>15</v>
      </c>
      <c r="L101" s="75" t="s">
        <v>14</v>
      </c>
      <c r="M101" s="21" t="s">
        <v>40</v>
      </c>
      <c r="N101" s="75" t="s">
        <v>20</v>
      </c>
      <c r="O101" s="21" t="s">
        <v>588</v>
      </c>
    </row>
    <row r="102" spans="1:15" ht="15.75" thickBot="1">
      <c r="A102" s="17" t="s">
        <v>114</v>
      </c>
      <c r="B102" s="90">
        <v>0</v>
      </c>
      <c r="C102" s="91">
        <v>2</v>
      </c>
      <c r="D102" s="90">
        <v>2</v>
      </c>
      <c r="E102" s="91">
        <v>2</v>
      </c>
      <c r="F102" s="90">
        <v>2</v>
      </c>
      <c r="G102" s="91">
        <v>2</v>
      </c>
      <c r="H102" s="90">
        <v>2</v>
      </c>
      <c r="I102" s="91">
        <v>2</v>
      </c>
      <c r="J102" s="90">
        <v>2</v>
      </c>
      <c r="K102" s="91">
        <v>2</v>
      </c>
      <c r="L102" s="75" t="s">
        <v>14</v>
      </c>
      <c r="M102" s="21" t="s">
        <v>771</v>
      </c>
      <c r="N102" s="75" t="s">
        <v>20</v>
      </c>
      <c r="O102" s="21" t="s">
        <v>588</v>
      </c>
    </row>
    <row r="103" spans="1:15" ht="15.75" thickBot="1">
      <c r="A103" s="17" t="s">
        <v>115</v>
      </c>
      <c r="B103" s="90">
        <v>0</v>
      </c>
      <c r="C103" s="91">
        <v>43.2</v>
      </c>
      <c r="D103" s="90">
        <v>43.2</v>
      </c>
      <c r="E103" s="91">
        <v>43.2</v>
      </c>
      <c r="F103" s="90">
        <v>43.2</v>
      </c>
      <c r="G103" s="91">
        <v>43.2</v>
      </c>
      <c r="H103" s="90">
        <v>43.2</v>
      </c>
      <c r="I103" s="91">
        <v>43.2</v>
      </c>
      <c r="J103" s="90">
        <v>43.2</v>
      </c>
      <c r="K103" s="91">
        <v>43.2</v>
      </c>
      <c r="L103" s="75" t="s">
        <v>14</v>
      </c>
      <c r="M103" s="21" t="s">
        <v>13</v>
      </c>
      <c r="N103" s="75" t="s">
        <v>20</v>
      </c>
      <c r="O103" s="21" t="s">
        <v>588</v>
      </c>
    </row>
    <row r="104" spans="1:15" ht="15.75" thickBot="1">
      <c r="A104" s="17" t="s">
        <v>65</v>
      </c>
      <c r="B104" s="90">
        <v>48.5</v>
      </c>
      <c r="C104" s="91">
        <v>48.5</v>
      </c>
      <c r="D104" s="90">
        <v>48.5</v>
      </c>
      <c r="E104" s="91">
        <v>48.5</v>
      </c>
      <c r="F104" s="90">
        <v>48.5</v>
      </c>
      <c r="G104" s="91">
        <v>48.5</v>
      </c>
      <c r="H104" s="90">
        <v>48.5</v>
      </c>
      <c r="I104" s="91">
        <v>48.5</v>
      </c>
      <c r="J104" s="90">
        <v>48.5</v>
      </c>
      <c r="K104" s="91">
        <v>48.5</v>
      </c>
      <c r="L104" s="75" t="s">
        <v>14</v>
      </c>
      <c r="M104" s="21" t="s">
        <v>40</v>
      </c>
      <c r="N104" s="75" t="s">
        <v>20</v>
      </c>
      <c r="O104" s="21" t="s">
        <v>588</v>
      </c>
    </row>
    <row r="105" spans="1:15" ht="15.75" thickBot="1">
      <c r="A105" s="17" t="s">
        <v>117</v>
      </c>
      <c r="B105" s="90">
        <v>100</v>
      </c>
      <c r="C105" s="91">
        <v>99.3</v>
      </c>
      <c r="D105" s="90">
        <v>98.6</v>
      </c>
      <c r="E105" s="91">
        <v>97.9</v>
      </c>
      <c r="F105" s="90">
        <v>97.2</v>
      </c>
      <c r="G105" s="91">
        <v>96.5</v>
      </c>
      <c r="H105" s="90">
        <v>95.9</v>
      </c>
      <c r="I105" s="91">
        <v>95.2</v>
      </c>
      <c r="J105" s="90">
        <v>94.5</v>
      </c>
      <c r="K105" s="91">
        <v>93.9</v>
      </c>
      <c r="L105" s="75" t="s">
        <v>14</v>
      </c>
      <c r="M105" s="21" t="s">
        <v>40</v>
      </c>
      <c r="N105" s="75" t="s">
        <v>20</v>
      </c>
      <c r="O105" s="21" t="s">
        <v>588</v>
      </c>
    </row>
    <row r="106" spans="1:15" ht="15.75" thickBot="1">
      <c r="A106" s="17" t="s">
        <v>119</v>
      </c>
      <c r="B106" s="90">
        <v>180.45</v>
      </c>
      <c r="C106" s="91">
        <v>180.45</v>
      </c>
      <c r="D106" s="90">
        <v>180.45</v>
      </c>
      <c r="E106" s="91">
        <v>180.45</v>
      </c>
      <c r="F106" s="90">
        <v>180.45</v>
      </c>
      <c r="G106" s="91">
        <v>180.45</v>
      </c>
      <c r="H106" s="90">
        <v>180.45</v>
      </c>
      <c r="I106" s="91">
        <v>180.45</v>
      </c>
      <c r="J106" s="90">
        <v>180.45</v>
      </c>
      <c r="K106" s="91">
        <v>180.45</v>
      </c>
      <c r="L106" s="75" t="s">
        <v>14</v>
      </c>
      <c r="M106" s="21" t="s">
        <v>13</v>
      </c>
      <c r="N106" s="75" t="s">
        <v>20</v>
      </c>
      <c r="O106" s="21" t="s">
        <v>588</v>
      </c>
    </row>
    <row r="107" spans="1:15" ht="15.75" thickBot="1">
      <c r="A107" s="17" t="s">
        <v>121</v>
      </c>
      <c r="B107" s="90">
        <v>55</v>
      </c>
      <c r="C107" s="91">
        <v>55</v>
      </c>
      <c r="D107" s="90">
        <v>55</v>
      </c>
      <c r="E107" s="91">
        <v>55</v>
      </c>
      <c r="F107" s="90">
        <v>55</v>
      </c>
      <c r="G107" s="91">
        <v>55</v>
      </c>
      <c r="H107" s="90">
        <v>55</v>
      </c>
      <c r="I107" s="91">
        <v>55</v>
      </c>
      <c r="J107" s="90">
        <v>55</v>
      </c>
      <c r="K107" s="91">
        <v>55</v>
      </c>
      <c r="L107" s="75" t="s">
        <v>14</v>
      </c>
      <c r="M107" s="21" t="s">
        <v>40</v>
      </c>
      <c r="N107" s="75" t="s">
        <v>20</v>
      </c>
      <c r="O107" s="21" t="s">
        <v>588</v>
      </c>
    </row>
    <row r="108" spans="1:15" ht="15.75" thickBot="1">
      <c r="A108" s="17" t="s">
        <v>123</v>
      </c>
      <c r="B108" s="90">
        <v>25</v>
      </c>
      <c r="C108" s="91">
        <v>25</v>
      </c>
      <c r="D108" s="90">
        <v>25</v>
      </c>
      <c r="E108" s="91">
        <v>25</v>
      </c>
      <c r="F108" s="90">
        <v>25</v>
      </c>
      <c r="G108" s="91">
        <v>25</v>
      </c>
      <c r="H108" s="90">
        <v>25</v>
      </c>
      <c r="I108" s="91">
        <v>25</v>
      </c>
      <c r="J108" s="90">
        <v>25</v>
      </c>
      <c r="K108" s="91">
        <v>25</v>
      </c>
      <c r="L108" s="75" t="s">
        <v>14</v>
      </c>
      <c r="M108" s="21" t="s">
        <v>40</v>
      </c>
      <c r="N108" s="75" t="s">
        <v>20</v>
      </c>
      <c r="O108" s="21" t="s">
        <v>588</v>
      </c>
    </row>
    <row r="109" spans="1:15" ht="15.75" thickBot="1">
      <c r="A109" s="17" t="s">
        <v>125</v>
      </c>
      <c r="B109" s="90">
        <v>116</v>
      </c>
      <c r="C109" s="91">
        <v>116</v>
      </c>
      <c r="D109" s="90">
        <v>116</v>
      </c>
      <c r="E109" s="91">
        <v>116</v>
      </c>
      <c r="F109" s="90">
        <v>116</v>
      </c>
      <c r="G109" s="91">
        <v>116</v>
      </c>
      <c r="H109" s="90">
        <v>116</v>
      </c>
      <c r="I109" s="91">
        <v>116</v>
      </c>
      <c r="J109" s="90">
        <v>116</v>
      </c>
      <c r="K109" s="91">
        <v>116</v>
      </c>
      <c r="L109" s="75" t="s">
        <v>14</v>
      </c>
      <c r="M109" s="21" t="s">
        <v>40</v>
      </c>
      <c r="N109" s="75" t="s">
        <v>20</v>
      </c>
      <c r="O109" s="21" t="s">
        <v>588</v>
      </c>
    </row>
    <row r="110" spans="1:15" ht="15.75" thickBot="1">
      <c r="A110" s="17" t="s">
        <v>419</v>
      </c>
      <c r="B110" s="90">
        <v>65</v>
      </c>
      <c r="C110" s="91">
        <v>65</v>
      </c>
      <c r="D110" s="90">
        <v>65</v>
      </c>
      <c r="E110" s="91">
        <v>65</v>
      </c>
      <c r="F110" s="90">
        <v>65</v>
      </c>
      <c r="G110" s="91">
        <v>65</v>
      </c>
      <c r="H110" s="90">
        <v>65</v>
      </c>
      <c r="I110" s="91">
        <v>65</v>
      </c>
      <c r="J110" s="90">
        <v>65</v>
      </c>
      <c r="K110" s="91">
        <v>65</v>
      </c>
      <c r="L110" s="75" t="s">
        <v>14</v>
      </c>
      <c r="M110" s="21" t="s">
        <v>40</v>
      </c>
      <c r="N110" s="75" t="s">
        <v>20</v>
      </c>
      <c r="O110" s="21" t="s">
        <v>588</v>
      </c>
    </row>
    <row r="111" spans="1:15" ht="15.75" thickBot="1">
      <c r="A111" s="17" t="s">
        <v>196</v>
      </c>
      <c r="B111" s="90">
        <v>124</v>
      </c>
      <c r="C111" s="91">
        <v>124</v>
      </c>
      <c r="D111" s="90">
        <v>124</v>
      </c>
      <c r="E111" s="91">
        <v>124</v>
      </c>
      <c r="F111" s="90">
        <v>124</v>
      </c>
      <c r="G111" s="91">
        <v>124</v>
      </c>
      <c r="H111" s="90">
        <v>124</v>
      </c>
      <c r="I111" s="91">
        <v>124</v>
      </c>
      <c r="J111" s="90">
        <v>124</v>
      </c>
      <c r="K111" s="91">
        <v>124</v>
      </c>
      <c r="L111" s="75" t="s">
        <v>14</v>
      </c>
      <c r="M111" s="21" t="s">
        <v>40</v>
      </c>
      <c r="N111" s="75" t="s">
        <v>20</v>
      </c>
      <c r="O111" s="21" t="s">
        <v>588</v>
      </c>
    </row>
    <row r="112" spans="1:15" ht="15.75" thickBot="1">
      <c r="A112" s="17" t="s">
        <v>423</v>
      </c>
      <c r="B112" s="90">
        <v>75</v>
      </c>
      <c r="C112" s="91">
        <v>75</v>
      </c>
      <c r="D112" s="90">
        <v>75</v>
      </c>
      <c r="E112" s="91">
        <v>75</v>
      </c>
      <c r="F112" s="90">
        <v>75</v>
      </c>
      <c r="G112" s="91">
        <v>75</v>
      </c>
      <c r="H112" s="90">
        <v>75</v>
      </c>
      <c r="I112" s="91">
        <v>75</v>
      </c>
      <c r="J112" s="90">
        <v>75</v>
      </c>
      <c r="K112" s="91">
        <v>75</v>
      </c>
      <c r="L112" s="75" t="s">
        <v>14</v>
      </c>
      <c r="M112" s="21" t="s">
        <v>40</v>
      </c>
      <c r="N112" s="75" t="s">
        <v>20</v>
      </c>
      <c r="O112" s="21" t="s">
        <v>588</v>
      </c>
    </row>
    <row r="113" spans="1:15" ht="15.75" thickBot="1">
      <c r="A113" s="17" t="s">
        <v>427</v>
      </c>
      <c r="B113" s="90">
        <v>0</v>
      </c>
      <c r="C113" s="91">
        <v>52.5</v>
      </c>
      <c r="D113" s="90">
        <v>52.5</v>
      </c>
      <c r="E113" s="91">
        <v>52.5</v>
      </c>
      <c r="F113" s="90">
        <v>52.5</v>
      </c>
      <c r="G113" s="91">
        <v>52.5</v>
      </c>
      <c r="H113" s="90">
        <v>52.5</v>
      </c>
      <c r="I113" s="91">
        <v>52.5</v>
      </c>
      <c r="J113" s="90">
        <v>52.5</v>
      </c>
      <c r="K113" s="91">
        <v>52.5</v>
      </c>
      <c r="L113" s="75" t="s">
        <v>14</v>
      </c>
      <c r="M113" s="21" t="s">
        <v>40</v>
      </c>
      <c r="N113" s="75" t="s">
        <v>20</v>
      </c>
      <c r="O113" s="21" t="s">
        <v>588</v>
      </c>
    </row>
    <row r="114" spans="1:15" ht="15.75" thickBot="1">
      <c r="A114" s="17" t="s">
        <v>128</v>
      </c>
      <c r="B114" s="90">
        <v>57.5</v>
      </c>
      <c r="C114" s="91">
        <v>57.5</v>
      </c>
      <c r="D114" s="90">
        <v>57.5</v>
      </c>
      <c r="E114" s="91">
        <v>57.5</v>
      </c>
      <c r="F114" s="90">
        <v>57.5</v>
      </c>
      <c r="G114" s="91">
        <v>57.5</v>
      </c>
      <c r="H114" s="90">
        <v>57.5</v>
      </c>
      <c r="I114" s="91">
        <v>57.5</v>
      </c>
      <c r="J114" s="90">
        <v>57.5</v>
      </c>
      <c r="K114" s="91">
        <v>57.5</v>
      </c>
      <c r="L114" s="75" t="s">
        <v>14</v>
      </c>
      <c r="M114" s="21" t="s">
        <v>40</v>
      </c>
      <c r="N114" s="75" t="s">
        <v>20</v>
      </c>
      <c r="O114" s="21" t="s">
        <v>588</v>
      </c>
    </row>
    <row r="115" spans="1:15">
      <c r="A115" s="74" t="s">
        <v>449</v>
      </c>
      <c r="B115" s="92">
        <v>0</v>
      </c>
      <c r="C115" s="93">
        <v>102.5</v>
      </c>
      <c r="D115" s="92">
        <v>102.5</v>
      </c>
      <c r="E115" s="93">
        <v>102.5</v>
      </c>
      <c r="F115" s="92">
        <v>102.5</v>
      </c>
      <c r="G115" s="93">
        <v>102.5</v>
      </c>
      <c r="H115" s="92">
        <v>102.5</v>
      </c>
      <c r="I115" s="93">
        <v>102.5</v>
      </c>
      <c r="J115" s="92">
        <v>102.5</v>
      </c>
      <c r="K115" s="93">
        <v>102.5</v>
      </c>
      <c r="L115" s="77" t="s">
        <v>14</v>
      </c>
      <c r="M115" s="78" t="s">
        <v>40</v>
      </c>
      <c r="N115" s="77" t="s">
        <v>20</v>
      </c>
      <c r="O115" s="78" t="s">
        <v>588</v>
      </c>
    </row>
    <row r="116" spans="1:15" ht="15.75" thickBot="1">
      <c r="B116" s="94"/>
      <c r="C116" s="94"/>
      <c r="D116" s="94"/>
      <c r="E116" s="94"/>
      <c r="F116" s="94"/>
      <c r="G116" s="94"/>
      <c r="H116" s="94"/>
      <c r="I116" s="94"/>
      <c r="J116" s="94"/>
      <c r="K116" s="94"/>
    </row>
    <row r="117" spans="1:15" ht="15.75" thickBot="1">
      <c r="A117" s="54" t="s">
        <v>599</v>
      </c>
      <c r="B117" s="95">
        <f>SUMIF(Query1[[FuelType]:[FuelType]],"Wind",Query1[201819])</f>
        <v>280.45</v>
      </c>
      <c r="C117" s="95">
        <f>SUMIF(Query1[[FuelType]:[FuelType]],"Wind",Query1[201920])</f>
        <v>573.65</v>
      </c>
      <c r="D117" s="95">
        <f>SUMIF(Query1[[FuelType]:[FuelType]],"Wind",Query1[202021])</f>
        <v>573.65</v>
      </c>
      <c r="E117" s="95">
        <f>SUMIF(Query1[[FuelType]:[FuelType]],"Wind",Query1[202122])</f>
        <v>573.65</v>
      </c>
      <c r="F117" s="95">
        <f>SUMIF(Query1[[FuelType]:[FuelType]],"Wind",Query1[202223])</f>
        <v>573.65</v>
      </c>
      <c r="G117" s="95">
        <f>SUMIF(Query1[[FuelType]:[FuelType]],"Wind",Query1[202324])</f>
        <v>573.65</v>
      </c>
      <c r="H117" s="95">
        <f>SUMIF(Query1[[FuelType]:[FuelType]],"Wind",Query1[202425])</f>
        <v>573.65</v>
      </c>
      <c r="I117" s="95">
        <f>SUMIF(Query1[[FuelType]:[FuelType]],"Wind",Query1[202526])</f>
        <v>573.65</v>
      </c>
      <c r="J117" s="95">
        <f>SUMIF(Query1[[FuelType]:[FuelType]],"Wind",Query1[202627])</f>
        <v>573.65</v>
      </c>
      <c r="K117" s="95">
        <f>SUMIF(Query1[[FuelType]:[FuelType]],"Wind",Query1[202728])</f>
        <v>573.65</v>
      </c>
      <c r="L117" s="55"/>
    </row>
    <row r="118" spans="1:15" ht="15.75" thickBot="1">
      <c r="A118" s="54" t="s">
        <v>600</v>
      </c>
      <c r="B118" s="95">
        <f>SUMIF(Query1[[FuelType]:[FuelType]],"Solar",Query1[201819])</f>
        <v>1477.5</v>
      </c>
      <c r="C118" s="95">
        <f>SUMIF(Query1[[FuelType]:[FuelType]],"Solar",Query1[201920])</f>
        <v>1646.1</v>
      </c>
      <c r="D118" s="95">
        <f>SUMIF(Query1[[FuelType]:[FuelType]],"Solar",Query1[202021])</f>
        <v>1644.7</v>
      </c>
      <c r="E118" s="95">
        <f>SUMIF(Query1[[FuelType]:[FuelType]],"Solar",Query1[202122])</f>
        <v>1643.3</v>
      </c>
      <c r="F118" s="95">
        <f>SUMIF(Query1[[FuelType]:[FuelType]],"Solar",Query1[202223])</f>
        <v>1641.9</v>
      </c>
      <c r="G118" s="95">
        <f>SUMIF(Query1[[FuelType]:[FuelType]],"Solar",Query1[202324])</f>
        <v>1640.5</v>
      </c>
      <c r="H118" s="95">
        <f>SUMIF(Query1[[FuelType]:[FuelType]],"Solar",Query1[202425])</f>
        <v>1639.3</v>
      </c>
      <c r="I118" s="95">
        <f>SUMIF(Query1[[FuelType]:[FuelType]],"Solar",Query1[202526])</f>
        <v>1637.9</v>
      </c>
      <c r="J118" s="95">
        <f>SUMIF(Query1[[FuelType]:[FuelType]],"Solar",Query1[202627])</f>
        <v>1636.5</v>
      </c>
      <c r="K118" s="95">
        <f>SUMIF(Query1[[FuelType]:[FuelType]],"Solar",Query1[202728])</f>
        <v>1635.3</v>
      </c>
      <c r="L118" s="55"/>
    </row>
    <row r="119" spans="1:15" ht="15.75" thickBot="1">
      <c r="A119" s="54" t="s">
        <v>601</v>
      </c>
      <c r="B119" s="95">
        <f>SUMIF(Query1[[FuelType]:[FuelType]],"Storage",Query1[201819])</f>
        <v>0</v>
      </c>
      <c r="C119" s="95">
        <f>SUMIF(Query1[[FuelType]:[FuelType]],"Storage",Query1[201920])</f>
        <v>0</v>
      </c>
      <c r="D119" s="95">
        <f>SUMIF(Query1[[FuelType]:[FuelType]],"Storage",Query1[202021])</f>
        <v>0</v>
      </c>
      <c r="E119" s="95">
        <f>SUMIF(Query1[[FuelType]:[FuelType]],"Storage",Query1[202122])</f>
        <v>0</v>
      </c>
      <c r="F119" s="95">
        <f>SUMIF(Query1[[FuelType]:[FuelType]],"Storage",Query1[202223])</f>
        <v>0</v>
      </c>
      <c r="G119" s="95">
        <f>SUMIF(Query1[[FuelType]:[FuelType]],"Storage",Query1[202324])</f>
        <v>0</v>
      </c>
      <c r="H119" s="95">
        <f>SUMIF(Query1[[FuelType]:[FuelType]],"Storage",Query1[202425])</f>
        <v>0</v>
      </c>
      <c r="I119" s="95">
        <f>SUMIF(Query1[[FuelType]:[FuelType]],"Storage",Query1[202526])</f>
        <v>0</v>
      </c>
      <c r="J119" s="95">
        <f>SUMIF(Query1[[FuelType]:[FuelType]],"Storage",Query1[202627])</f>
        <v>0</v>
      </c>
      <c r="K119" s="95">
        <f>SUMIF(Query1[[FuelType]:[FuelType]],"Storage",Query1[202728])</f>
        <v>0</v>
      </c>
      <c r="L119" s="55"/>
    </row>
  </sheetData>
  <mergeCells count="5">
    <mergeCell ref="A54:L54"/>
    <mergeCell ref="A55:L55"/>
    <mergeCell ref="A56:L56"/>
    <mergeCell ref="A57:L57"/>
    <mergeCell ref="A53:L53"/>
  </mergeCells>
  <pageMargins left="0.7" right="0.7" top="0.75" bottom="0.75" header="0.3" footer="0.3"/>
  <tableParts count="3">
    <tablePart r:id="rId1"/>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19"/>
  <sheetViews>
    <sheetView workbookViewId="0"/>
  </sheetViews>
  <sheetFormatPr defaultColWidth="9.140625" defaultRowHeight="15"/>
  <cols>
    <col min="1" max="1" width="30.5703125" style="25" bestFit="1" customWidth="1"/>
    <col min="2" max="11" width="9" style="25" bestFit="1" customWidth="1"/>
    <col min="12" max="12" width="16.140625" style="25" bestFit="1" customWidth="1"/>
    <col min="13" max="13" width="12.7109375" style="25" hidden="1" customWidth="1"/>
    <col min="14" max="14" width="11" style="25" hidden="1" customWidth="1"/>
    <col min="15" max="15" width="11.42578125" style="25" hidden="1" customWidth="1"/>
    <col min="16" max="16384" width="9.140625" style="25"/>
  </cols>
  <sheetData>
    <row r="1" spans="1:15" ht="20.25" thickBot="1">
      <c r="A1" s="29" t="s">
        <v>602</v>
      </c>
    </row>
    <row r="2" spans="1:15" ht="15.75" thickBot="1">
      <c r="A2" s="87" t="s">
        <v>584</v>
      </c>
      <c r="B2" s="87" t="s">
        <v>673</v>
      </c>
      <c r="C2" s="87" t="s">
        <v>674</v>
      </c>
      <c r="D2" s="87" t="s">
        <v>675</v>
      </c>
      <c r="E2" s="87" t="s">
        <v>676</v>
      </c>
      <c r="F2" s="87" t="s">
        <v>677</v>
      </c>
      <c r="G2" s="87" t="s">
        <v>678</v>
      </c>
      <c r="H2" s="87" t="s">
        <v>679</v>
      </c>
      <c r="I2" s="87" t="s">
        <v>680</v>
      </c>
      <c r="J2" s="87" t="s">
        <v>681</v>
      </c>
      <c r="K2" s="87" t="s">
        <v>682</v>
      </c>
      <c r="L2" s="87" t="s">
        <v>683</v>
      </c>
      <c r="M2" s="56" t="s">
        <v>585</v>
      </c>
      <c r="N2" s="56" t="s">
        <v>7</v>
      </c>
      <c r="O2" s="56" t="s">
        <v>586</v>
      </c>
    </row>
    <row r="3" spans="1:15" ht="15.75" thickBot="1">
      <c r="A3" s="18" t="s">
        <v>17</v>
      </c>
      <c r="B3" s="88">
        <v>37</v>
      </c>
      <c r="C3" s="89">
        <v>37</v>
      </c>
      <c r="D3" s="88">
        <v>37</v>
      </c>
      <c r="E3" s="89">
        <v>37</v>
      </c>
      <c r="F3" s="88">
        <v>37</v>
      </c>
      <c r="G3" s="89">
        <v>37</v>
      </c>
      <c r="H3" s="88">
        <v>37</v>
      </c>
      <c r="I3" s="89">
        <v>37</v>
      </c>
      <c r="J3" s="88">
        <v>37</v>
      </c>
      <c r="K3" s="89">
        <v>37</v>
      </c>
      <c r="L3" s="76" t="s">
        <v>10</v>
      </c>
      <c r="M3" s="22" t="s">
        <v>587</v>
      </c>
      <c r="N3" s="76" t="s">
        <v>20</v>
      </c>
      <c r="O3" s="22" t="s">
        <v>603</v>
      </c>
    </row>
    <row r="4" spans="1:15" ht="15.75" thickBot="1">
      <c r="A4" s="17" t="s">
        <v>21</v>
      </c>
      <c r="B4" s="90">
        <v>66</v>
      </c>
      <c r="C4" s="91">
        <v>66</v>
      </c>
      <c r="D4" s="90">
        <v>66</v>
      </c>
      <c r="E4" s="91">
        <v>66</v>
      </c>
      <c r="F4" s="90">
        <v>66</v>
      </c>
      <c r="G4" s="91">
        <v>66</v>
      </c>
      <c r="H4" s="90">
        <v>66</v>
      </c>
      <c r="I4" s="91">
        <v>66</v>
      </c>
      <c r="J4" s="90">
        <v>66</v>
      </c>
      <c r="K4" s="91">
        <v>66</v>
      </c>
      <c r="L4" s="75" t="s">
        <v>10</v>
      </c>
      <c r="M4" s="21" t="s">
        <v>589</v>
      </c>
      <c r="N4" s="75" t="s">
        <v>20</v>
      </c>
      <c r="O4" s="21" t="s">
        <v>603</v>
      </c>
    </row>
    <row r="5" spans="1:15" ht="15.75" thickBot="1">
      <c r="A5" s="17" t="s">
        <v>31</v>
      </c>
      <c r="B5" s="90">
        <v>530</v>
      </c>
      <c r="C5" s="91">
        <v>530</v>
      </c>
      <c r="D5" s="90">
        <v>530</v>
      </c>
      <c r="E5" s="91">
        <v>530</v>
      </c>
      <c r="F5" s="90">
        <v>543</v>
      </c>
      <c r="G5" s="91">
        <v>543</v>
      </c>
      <c r="H5" s="90">
        <v>543</v>
      </c>
      <c r="I5" s="91">
        <v>543</v>
      </c>
      <c r="J5" s="90">
        <v>543</v>
      </c>
      <c r="K5" s="91">
        <v>543</v>
      </c>
      <c r="L5" s="75" t="s">
        <v>10</v>
      </c>
      <c r="M5" s="21" t="s">
        <v>587</v>
      </c>
      <c r="N5" s="75" t="s">
        <v>20</v>
      </c>
      <c r="O5" s="21" t="s">
        <v>603</v>
      </c>
    </row>
    <row r="6" spans="1:15" ht="15.75" thickBot="1">
      <c r="A6" s="17" t="s">
        <v>35</v>
      </c>
      <c r="B6" s="90">
        <v>519</v>
      </c>
      <c r="C6" s="91">
        <v>519</v>
      </c>
      <c r="D6" s="90">
        <v>519</v>
      </c>
      <c r="E6" s="91">
        <v>519</v>
      </c>
      <c r="F6" s="90">
        <v>519</v>
      </c>
      <c r="G6" s="91">
        <v>519</v>
      </c>
      <c r="H6" s="90">
        <v>519</v>
      </c>
      <c r="I6" s="91">
        <v>519</v>
      </c>
      <c r="J6" s="90">
        <v>519</v>
      </c>
      <c r="K6" s="91">
        <v>519</v>
      </c>
      <c r="L6" s="75" t="s">
        <v>10</v>
      </c>
      <c r="M6" s="21" t="s">
        <v>587</v>
      </c>
      <c r="N6" s="75" t="s">
        <v>20</v>
      </c>
      <c r="O6" s="21" t="s">
        <v>603</v>
      </c>
    </row>
    <row r="7" spans="1:15" ht="15.75" thickBot="1">
      <c r="A7" s="17" t="s">
        <v>41</v>
      </c>
      <c r="B7" s="90">
        <v>700</v>
      </c>
      <c r="C7" s="91">
        <v>700</v>
      </c>
      <c r="D7" s="90">
        <v>700</v>
      </c>
      <c r="E7" s="91">
        <v>700</v>
      </c>
      <c r="F7" s="90">
        <v>700</v>
      </c>
      <c r="G7" s="91">
        <v>700</v>
      </c>
      <c r="H7" s="90">
        <v>700</v>
      </c>
      <c r="I7" s="91">
        <v>700</v>
      </c>
      <c r="J7" s="90">
        <v>700</v>
      </c>
      <c r="K7" s="91">
        <v>700</v>
      </c>
      <c r="L7" s="75" t="s">
        <v>10</v>
      </c>
      <c r="M7" s="21" t="s">
        <v>587</v>
      </c>
      <c r="N7" s="75" t="s">
        <v>20</v>
      </c>
      <c r="O7" s="21" t="s">
        <v>603</v>
      </c>
    </row>
    <row r="8" spans="1:15" ht="15.75" thickBot="1">
      <c r="A8" s="17" t="s">
        <v>44</v>
      </c>
      <c r="B8" s="90">
        <v>840</v>
      </c>
      <c r="C8" s="91">
        <v>840</v>
      </c>
      <c r="D8" s="90">
        <v>840</v>
      </c>
      <c r="E8" s="91">
        <v>840</v>
      </c>
      <c r="F8" s="90">
        <v>840</v>
      </c>
      <c r="G8" s="91">
        <v>840</v>
      </c>
      <c r="H8" s="90">
        <v>840</v>
      </c>
      <c r="I8" s="91">
        <v>840</v>
      </c>
      <c r="J8" s="90">
        <v>840</v>
      </c>
      <c r="K8" s="91">
        <v>840</v>
      </c>
      <c r="L8" s="75" t="s">
        <v>10</v>
      </c>
      <c r="M8" s="21" t="s">
        <v>587</v>
      </c>
      <c r="N8" s="75" t="s">
        <v>20</v>
      </c>
      <c r="O8" s="21" t="s">
        <v>603</v>
      </c>
    </row>
    <row r="9" spans="1:15" ht="15.75" thickBot="1">
      <c r="A9" s="17" t="s">
        <v>303</v>
      </c>
      <c r="B9" s="90">
        <v>56</v>
      </c>
      <c r="C9" s="91">
        <v>56</v>
      </c>
      <c r="D9" s="90">
        <v>56</v>
      </c>
      <c r="E9" s="91">
        <v>56</v>
      </c>
      <c r="F9" s="90">
        <v>56</v>
      </c>
      <c r="G9" s="91">
        <v>56</v>
      </c>
      <c r="H9" s="90">
        <v>56</v>
      </c>
      <c r="I9" s="91">
        <v>56</v>
      </c>
      <c r="J9" s="90">
        <v>56</v>
      </c>
      <c r="K9" s="91">
        <v>56</v>
      </c>
      <c r="L9" s="75" t="s">
        <v>14</v>
      </c>
      <c r="M9" s="21" t="s">
        <v>40</v>
      </c>
      <c r="N9" s="75" t="s">
        <v>20</v>
      </c>
      <c r="O9" s="21" t="s">
        <v>603</v>
      </c>
    </row>
    <row r="10" spans="1:15" ht="15.75" thickBot="1">
      <c r="A10" s="17" t="s">
        <v>48</v>
      </c>
      <c r="B10" s="90">
        <v>80.400000000000006</v>
      </c>
      <c r="C10" s="91">
        <v>79.8</v>
      </c>
      <c r="D10" s="90">
        <v>79.2</v>
      </c>
      <c r="E10" s="91">
        <v>78.7</v>
      </c>
      <c r="F10" s="90">
        <v>78.099999999999994</v>
      </c>
      <c r="G10" s="91">
        <v>77.599999999999994</v>
      </c>
      <c r="H10" s="90">
        <v>77</v>
      </c>
      <c r="I10" s="91">
        <v>76.5</v>
      </c>
      <c r="J10" s="90">
        <v>76</v>
      </c>
      <c r="K10" s="91">
        <v>75.400000000000006</v>
      </c>
      <c r="L10" s="75" t="s">
        <v>14</v>
      </c>
      <c r="M10" s="21" t="s">
        <v>40</v>
      </c>
      <c r="N10" s="75" t="s">
        <v>20</v>
      </c>
      <c r="O10" s="21" t="s">
        <v>603</v>
      </c>
    </row>
    <row r="11" spans="1:15" ht="15.75" thickBot="1">
      <c r="A11" s="17" t="s">
        <v>101</v>
      </c>
      <c r="B11" s="90">
        <v>75</v>
      </c>
      <c r="C11" s="91">
        <v>75</v>
      </c>
      <c r="D11" s="90">
        <v>75</v>
      </c>
      <c r="E11" s="91">
        <v>75</v>
      </c>
      <c r="F11" s="90">
        <v>75</v>
      </c>
      <c r="G11" s="91">
        <v>75</v>
      </c>
      <c r="H11" s="90">
        <v>75</v>
      </c>
      <c r="I11" s="91">
        <v>75</v>
      </c>
      <c r="J11" s="90">
        <v>75</v>
      </c>
      <c r="K11" s="91">
        <v>75</v>
      </c>
      <c r="L11" s="75" t="s">
        <v>14</v>
      </c>
      <c r="M11" s="21" t="s">
        <v>40</v>
      </c>
      <c r="N11" s="75" t="s">
        <v>20</v>
      </c>
      <c r="O11" s="21" t="s">
        <v>603</v>
      </c>
    </row>
    <row r="12" spans="1:15" ht="15.75" thickBot="1">
      <c r="A12" s="17" t="s">
        <v>103</v>
      </c>
      <c r="B12" s="90">
        <v>42.5</v>
      </c>
      <c r="C12" s="91">
        <v>42.5</v>
      </c>
      <c r="D12" s="90">
        <v>42.5</v>
      </c>
      <c r="E12" s="91">
        <v>42.5</v>
      </c>
      <c r="F12" s="90">
        <v>42.5</v>
      </c>
      <c r="G12" s="91">
        <v>42.5</v>
      </c>
      <c r="H12" s="90">
        <v>42.5</v>
      </c>
      <c r="I12" s="91">
        <v>42.5</v>
      </c>
      <c r="J12" s="90">
        <v>42.5</v>
      </c>
      <c r="K12" s="91">
        <v>42.5</v>
      </c>
      <c r="L12" s="75" t="s">
        <v>14</v>
      </c>
      <c r="M12" s="21" t="s">
        <v>40</v>
      </c>
      <c r="N12" s="75" t="s">
        <v>20</v>
      </c>
      <c r="O12" s="21" t="s">
        <v>603</v>
      </c>
    </row>
    <row r="13" spans="1:15" ht="15.75" thickBot="1">
      <c r="A13" s="17" t="s">
        <v>52</v>
      </c>
      <c r="B13" s="90">
        <v>100</v>
      </c>
      <c r="C13" s="91">
        <v>100</v>
      </c>
      <c r="D13" s="90">
        <v>100</v>
      </c>
      <c r="E13" s="91">
        <v>100</v>
      </c>
      <c r="F13" s="90">
        <v>100</v>
      </c>
      <c r="G13" s="91">
        <v>100</v>
      </c>
      <c r="H13" s="90">
        <v>100</v>
      </c>
      <c r="I13" s="91">
        <v>100</v>
      </c>
      <c r="J13" s="90">
        <v>100</v>
      </c>
      <c r="K13" s="91">
        <v>100</v>
      </c>
      <c r="L13" s="75" t="s">
        <v>10</v>
      </c>
      <c r="M13" s="21" t="s">
        <v>587</v>
      </c>
      <c r="N13" s="75" t="s">
        <v>20</v>
      </c>
      <c r="O13" s="21" t="s">
        <v>603</v>
      </c>
    </row>
    <row r="14" spans="1:15" ht="15.75" thickBot="1">
      <c r="A14" s="17" t="s">
        <v>105</v>
      </c>
      <c r="B14" s="90">
        <v>350</v>
      </c>
      <c r="C14" s="91">
        <v>350</v>
      </c>
      <c r="D14" s="90">
        <v>350</v>
      </c>
      <c r="E14" s="91">
        <v>350</v>
      </c>
      <c r="F14" s="90">
        <v>350</v>
      </c>
      <c r="G14" s="91">
        <v>350</v>
      </c>
      <c r="H14" s="90">
        <v>350</v>
      </c>
      <c r="I14" s="91">
        <v>350</v>
      </c>
      <c r="J14" s="90">
        <v>350</v>
      </c>
      <c r="K14" s="91">
        <v>350</v>
      </c>
      <c r="L14" s="75" t="s">
        <v>14</v>
      </c>
      <c r="M14" s="21" t="s">
        <v>13</v>
      </c>
      <c r="N14" s="75" t="s">
        <v>20</v>
      </c>
      <c r="O14" s="21" t="s">
        <v>603</v>
      </c>
    </row>
    <row r="15" spans="1:15" ht="15.75" thickBot="1">
      <c r="A15" s="17" t="s">
        <v>56</v>
      </c>
      <c r="B15" s="90">
        <v>633</v>
      </c>
      <c r="C15" s="91">
        <v>633</v>
      </c>
      <c r="D15" s="90">
        <v>633</v>
      </c>
      <c r="E15" s="91">
        <v>633</v>
      </c>
      <c r="F15" s="90">
        <v>633</v>
      </c>
      <c r="G15" s="91">
        <v>633</v>
      </c>
      <c r="H15" s="90">
        <v>633</v>
      </c>
      <c r="I15" s="91">
        <v>633</v>
      </c>
      <c r="J15" s="90">
        <v>633</v>
      </c>
      <c r="K15" s="91">
        <v>633</v>
      </c>
      <c r="L15" s="75" t="s">
        <v>10</v>
      </c>
      <c r="M15" s="21" t="s">
        <v>587</v>
      </c>
      <c r="N15" s="75" t="s">
        <v>20</v>
      </c>
      <c r="O15" s="21" t="s">
        <v>603</v>
      </c>
    </row>
    <row r="16" spans="1:15" ht="15.75" thickBot="1">
      <c r="A16" s="17" t="s">
        <v>107</v>
      </c>
      <c r="B16" s="90">
        <v>108.5</v>
      </c>
      <c r="C16" s="91">
        <v>108.5</v>
      </c>
      <c r="D16" s="90">
        <v>108.5</v>
      </c>
      <c r="E16" s="91">
        <v>108.5</v>
      </c>
      <c r="F16" s="90">
        <v>108.5</v>
      </c>
      <c r="G16" s="91">
        <v>108.5</v>
      </c>
      <c r="H16" s="90">
        <v>108.5</v>
      </c>
      <c r="I16" s="91">
        <v>108.5</v>
      </c>
      <c r="J16" s="90">
        <v>108.5</v>
      </c>
      <c r="K16" s="91">
        <v>108.5</v>
      </c>
      <c r="L16" s="75" t="s">
        <v>14</v>
      </c>
      <c r="M16" s="21" t="s">
        <v>40</v>
      </c>
      <c r="N16" s="75" t="s">
        <v>20</v>
      </c>
      <c r="O16" s="21" t="s">
        <v>603</v>
      </c>
    </row>
    <row r="17" spans="1:15" ht="15.75" thickBot="1">
      <c r="A17" s="17" t="s">
        <v>108</v>
      </c>
      <c r="B17" s="90">
        <v>150</v>
      </c>
      <c r="C17" s="91">
        <v>150</v>
      </c>
      <c r="D17" s="90">
        <v>150</v>
      </c>
      <c r="E17" s="91">
        <v>150</v>
      </c>
      <c r="F17" s="90">
        <v>150</v>
      </c>
      <c r="G17" s="91">
        <v>150</v>
      </c>
      <c r="H17" s="90">
        <v>150</v>
      </c>
      <c r="I17" s="91">
        <v>150</v>
      </c>
      <c r="J17" s="90">
        <v>150</v>
      </c>
      <c r="K17" s="91">
        <v>150</v>
      </c>
      <c r="L17" s="75" t="s">
        <v>14</v>
      </c>
      <c r="M17" s="21" t="s">
        <v>40</v>
      </c>
      <c r="N17" s="75" t="s">
        <v>20</v>
      </c>
      <c r="O17" s="21" t="s">
        <v>603</v>
      </c>
    </row>
    <row r="18" spans="1:15" ht="23.25" thickBot="1">
      <c r="A18" s="17" t="s">
        <v>741</v>
      </c>
      <c r="B18" s="90">
        <v>72</v>
      </c>
      <c r="C18" s="91">
        <v>72</v>
      </c>
      <c r="D18" s="90">
        <v>72</v>
      </c>
      <c r="E18" s="91">
        <v>72</v>
      </c>
      <c r="F18" s="90">
        <v>72</v>
      </c>
      <c r="G18" s="91">
        <v>72</v>
      </c>
      <c r="H18" s="90">
        <v>72</v>
      </c>
      <c r="I18" s="91">
        <v>72</v>
      </c>
      <c r="J18" s="90">
        <v>72</v>
      </c>
      <c r="K18" s="91">
        <v>72</v>
      </c>
      <c r="L18" s="75" t="s">
        <v>14</v>
      </c>
      <c r="M18" s="21" t="s">
        <v>40</v>
      </c>
      <c r="N18" s="75" t="s">
        <v>20</v>
      </c>
      <c r="O18" s="21" t="s">
        <v>603</v>
      </c>
    </row>
    <row r="19" spans="1:15" ht="15.75" thickBot="1">
      <c r="A19" s="17" t="s">
        <v>59</v>
      </c>
      <c r="B19" s="90">
        <v>1680</v>
      </c>
      <c r="C19" s="91">
        <v>1680</v>
      </c>
      <c r="D19" s="90">
        <v>1680</v>
      </c>
      <c r="E19" s="91">
        <v>1680</v>
      </c>
      <c r="F19" s="90">
        <v>1680</v>
      </c>
      <c r="G19" s="91">
        <v>1680</v>
      </c>
      <c r="H19" s="90">
        <v>1680</v>
      </c>
      <c r="I19" s="91">
        <v>1680</v>
      </c>
      <c r="J19" s="90">
        <v>1680</v>
      </c>
      <c r="K19" s="91">
        <v>1680</v>
      </c>
      <c r="L19" s="75" t="s">
        <v>10</v>
      </c>
      <c r="M19" s="21" t="s">
        <v>587</v>
      </c>
      <c r="N19" s="75" t="s">
        <v>20</v>
      </c>
      <c r="O19" s="21" t="s">
        <v>603</v>
      </c>
    </row>
    <row r="20" spans="1:15" ht="15.75" thickBot="1">
      <c r="A20" s="17" t="s">
        <v>352</v>
      </c>
      <c r="B20" s="90">
        <v>57.5</v>
      </c>
      <c r="C20" s="91">
        <v>57.5</v>
      </c>
      <c r="D20" s="90">
        <v>57.5</v>
      </c>
      <c r="E20" s="91">
        <v>57.5</v>
      </c>
      <c r="F20" s="90">
        <v>57.5</v>
      </c>
      <c r="G20" s="91">
        <v>57.5</v>
      </c>
      <c r="H20" s="90">
        <v>57.5</v>
      </c>
      <c r="I20" s="91">
        <v>57.5</v>
      </c>
      <c r="J20" s="90">
        <v>57.5</v>
      </c>
      <c r="K20" s="91">
        <v>57.5</v>
      </c>
      <c r="L20" s="75" t="s">
        <v>14</v>
      </c>
      <c r="M20" s="21" t="s">
        <v>40</v>
      </c>
      <c r="N20" s="75" t="s">
        <v>20</v>
      </c>
      <c r="O20" s="21" t="s">
        <v>603</v>
      </c>
    </row>
    <row r="21" spans="1:15" ht="15.75" thickBot="1">
      <c r="A21" s="17" t="s">
        <v>110</v>
      </c>
      <c r="B21" s="90">
        <v>97.9</v>
      </c>
      <c r="C21" s="91">
        <v>97.3</v>
      </c>
      <c r="D21" s="90">
        <v>96.7</v>
      </c>
      <c r="E21" s="91">
        <v>96.1</v>
      </c>
      <c r="F21" s="90">
        <v>95.5</v>
      </c>
      <c r="G21" s="91">
        <v>95</v>
      </c>
      <c r="H21" s="90">
        <v>94.4</v>
      </c>
      <c r="I21" s="91">
        <v>93.8</v>
      </c>
      <c r="J21" s="90">
        <v>93.2</v>
      </c>
      <c r="K21" s="91">
        <v>92.6</v>
      </c>
      <c r="L21" s="75" t="s">
        <v>14</v>
      </c>
      <c r="M21" s="21" t="s">
        <v>40</v>
      </c>
      <c r="N21" s="75" t="s">
        <v>20</v>
      </c>
      <c r="O21" s="21" t="s">
        <v>603</v>
      </c>
    </row>
    <row r="22" spans="1:15" ht="15.75" thickBot="1">
      <c r="A22" s="17" t="s">
        <v>112</v>
      </c>
      <c r="B22" s="90">
        <v>50</v>
      </c>
      <c r="C22" s="91">
        <v>50</v>
      </c>
      <c r="D22" s="90">
        <v>50</v>
      </c>
      <c r="E22" s="91">
        <v>50</v>
      </c>
      <c r="F22" s="90">
        <v>50</v>
      </c>
      <c r="G22" s="91">
        <v>50</v>
      </c>
      <c r="H22" s="90">
        <v>50</v>
      </c>
      <c r="I22" s="91">
        <v>50</v>
      </c>
      <c r="J22" s="90">
        <v>50</v>
      </c>
      <c r="K22" s="91">
        <v>50</v>
      </c>
      <c r="L22" s="75" t="s">
        <v>14</v>
      </c>
      <c r="M22" s="21" t="s">
        <v>40</v>
      </c>
      <c r="N22" s="75" t="s">
        <v>20</v>
      </c>
      <c r="O22" s="21" t="s">
        <v>603</v>
      </c>
    </row>
    <row r="23" spans="1:15" ht="15.75" thickBot="1">
      <c r="A23" s="17" t="s">
        <v>63</v>
      </c>
      <c r="B23" s="90">
        <v>86.4</v>
      </c>
      <c r="C23" s="91">
        <v>86.4</v>
      </c>
      <c r="D23" s="90">
        <v>86.4</v>
      </c>
      <c r="E23" s="91">
        <v>86.4</v>
      </c>
      <c r="F23" s="90">
        <v>86.4</v>
      </c>
      <c r="G23" s="91">
        <v>86.4</v>
      </c>
      <c r="H23" s="90">
        <v>86.4</v>
      </c>
      <c r="I23" s="91">
        <v>86.4</v>
      </c>
      <c r="J23" s="90">
        <v>86.4</v>
      </c>
      <c r="K23" s="91">
        <v>86.4</v>
      </c>
      <c r="L23" s="75" t="s">
        <v>10</v>
      </c>
      <c r="M23" s="21" t="s">
        <v>589</v>
      </c>
      <c r="N23" s="75" t="s">
        <v>20</v>
      </c>
      <c r="O23" s="21" t="s">
        <v>603</v>
      </c>
    </row>
    <row r="24" spans="1:15" ht="15.75" thickBot="1">
      <c r="A24" s="17" t="s">
        <v>113</v>
      </c>
      <c r="B24" s="90">
        <v>15</v>
      </c>
      <c r="C24" s="91">
        <v>15</v>
      </c>
      <c r="D24" s="90">
        <v>15</v>
      </c>
      <c r="E24" s="91">
        <v>15</v>
      </c>
      <c r="F24" s="90">
        <v>15</v>
      </c>
      <c r="G24" s="91">
        <v>15</v>
      </c>
      <c r="H24" s="90">
        <v>15</v>
      </c>
      <c r="I24" s="91">
        <v>15</v>
      </c>
      <c r="J24" s="90">
        <v>15</v>
      </c>
      <c r="K24" s="91">
        <v>15</v>
      </c>
      <c r="L24" s="75" t="s">
        <v>14</v>
      </c>
      <c r="M24" s="21" t="s">
        <v>40</v>
      </c>
      <c r="N24" s="75" t="s">
        <v>20</v>
      </c>
      <c r="O24" s="21" t="s">
        <v>603</v>
      </c>
    </row>
    <row r="25" spans="1:15" ht="15.75" thickBot="1">
      <c r="A25" s="17" t="s">
        <v>114</v>
      </c>
      <c r="B25" s="90">
        <v>2</v>
      </c>
      <c r="C25" s="91">
        <v>2</v>
      </c>
      <c r="D25" s="90">
        <v>2</v>
      </c>
      <c r="E25" s="91">
        <v>2</v>
      </c>
      <c r="F25" s="90">
        <v>2</v>
      </c>
      <c r="G25" s="91">
        <v>2</v>
      </c>
      <c r="H25" s="90">
        <v>2</v>
      </c>
      <c r="I25" s="91">
        <v>2</v>
      </c>
      <c r="J25" s="90">
        <v>2</v>
      </c>
      <c r="K25" s="91">
        <v>2</v>
      </c>
      <c r="L25" s="75" t="s">
        <v>14</v>
      </c>
      <c r="M25" s="21" t="s">
        <v>771</v>
      </c>
      <c r="N25" s="75" t="s">
        <v>20</v>
      </c>
      <c r="O25" s="21" t="s">
        <v>603</v>
      </c>
    </row>
    <row r="26" spans="1:15" ht="15.75" thickBot="1">
      <c r="A26" s="17" t="s">
        <v>115</v>
      </c>
      <c r="B26" s="90">
        <v>43.2</v>
      </c>
      <c r="C26" s="91">
        <v>43.2</v>
      </c>
      <c r="D26" s="90">
        <v>43.2</v>
      </c>
      <c r="E26" s="91">
        <v>43.2</v>
      </c>
      <c r="F26" s="90">
        <v>43.2</v>
      </c>
      <c r="G26" s="91">
        <v>43.2</v>
      </c>
      <c r="H26" s="90">
        <v>43.2</v>
      </c>
      <c r="I26" s="91">
        <v>43.2</v>
      </c>
      <c r="J26" s="90">
        <v>43.2</v>
      </c>
      <c r="K26" s="91">
        <v>43.2</v>
      </c>
      <c r="L26" s="75" t="s">
        <v>14</v>
      </c>
      <c r="M26" s="21" t="s">
        <v>13</v>
      </c>
      <c r="N26" s="75" t="s">
        <v>20</v>
      </c>
      <c r="O26" s="21" t="s">
        <v>603</v>
      </c>
    </row>
    <row r="27" spans="1:15" ht="15.75" thickBot="1">
      <c r="A27" s="17" t="s">
        <v>65</v>
      </c>
      <c r="B27" s="90">
        <v>48.5</v>
      </c>
      <c r="C27" s="91">
        <v>48.5</v>
      </c>
      <c r="D27" s="90">
        <v>48.5</v>
      </c>
      <c r="E27" s="91">
        <v>48.5</v>
      </c>
      <c r="F27" s="90">
        <v>48.5</v>
      </c>
      <c r="G27" s="91">
        <v>48.5</v>
      </c>
      <c r="H27" s="90">
        <v>48.5</v>
      </c>
      <c r="I27" s="91">
        <v>48.5</v>
      </c>
      <c r="J27" s="90">
        <v>48.5</v>
      </c>
      <c r="K27" s="91">
        <v>48.5</v>
      </c>
      <c r="L27" s="75" t="s">
        <v>14</v>
      </c>
      <c r="M27" s="21" t="s">
        <v>40</v>
      </c>
      <c r="N27" s="75" t="s">
        <v>20</v>
      </c>
      <c r="O27" s="21" t="s">
        <v>603</v>
      </c>
    </row>
    <row r="28" spans="1:15" ht="15.75" thickBot="1">
      <c r="A28" s="17" t="s">
        <v>68</v>
      </c>
      <c r="B28" s="90">
        <v>750</v>
      </c>
      <c r="C28" s="91">
        <v>750</v>
      </c>
      <c r="D28" s="90">
        <v>750</v>
      </c>
      <c r="E28" s="91">
        <v>750</v>
      </c>
      <c r="F28" s="90">
        <v>750</v>
      </c>
      <c r="G28" s="91">
        <v>750</v>
      </c>
      <c r="H28" s="90">
        <v>750</v>
      </c>
      <c r="I28" s="91">
        <v>750</v>
      </c>
      <c r="J28" s="90">
        <v>750</v>
      </c>
      <c r="K28" s="91">
        <v>750</v>
      </c>
      <c r="L28" s="75" t="s">
        <v>10</v>
      </c>
      <c r="M28" s="21" t="s">
        <v>587</v>
      </c>
      <c r="N28" s="75" t="s">
        <v>20</v>
      </c>
      <c r="O28" s="21" t="s">
        <v>603</v>
      </c>
    </row>
    <row r="29" spans="1:15" ht="15.75" thickBot="1">
      <c r="A29" s="17" t="s">
        <v>117</v>
      </c>
      <c r="B29" s="90">
        <v>80.400000000000006</v>
      </c>
      <c r="C29" s="91">
        <v>79.8</v>
      </c>
      <c r="D29" s="90">
        <v>79.2</v>
      </c>
      <c r="E29" s="91">
        <v>78.7</v>
      </c>
      <c r="F29" s="90">
        <v>78.099999999999994</v>
      </c>
      <c r="G29" s="91">
        <v>77.599999999999994</v>
      </c>
      <c r="H29" s="90">
        <v>77</v>
      </c>
      <c r="I29" s="91">
        <v>76.5</v>
      </c>
      <c r="J29" s="90">
        <v>76</v>
      </c>
      <c r="K29" s="91">
        <v>75.400000000000006</v>
      </c>
      <c r="L29" s="75" t="s">
        <v>14</v>
      </c>
      <c r="M29" s="21" t="s">
        <v>40</v>
      </c>
      <c r="N29" s="75" t="s">
        <v>20</v>
      </c>
      <c r="O29" s="21" t="s">
        <v>603</v>
      </c>
    </row>
    <row r="30" spans="1:15" ht="15.75" thickBot="1">
      <c r="A30" s="17" t="s">
        <v>72</v>
      </c>
      <c r="B30" s="90">
        <v>34</v>
      </c>
      <c r="C30" s="91">
        <v>34</v>
      </c>
      <c r="D30" s="90">
        <v>34</v>
      </c>
      <c r="E30" s="91">
        <v>0</v>
      </c>
      <c r="F30" s="90">
        <v>0</v>
      </c>
      <c r="G30" s="91">
        <v>0</v>
      </c>
      <c r="H30" s="90">
        <v>0</v>
      </c>
      <c r="I30" s="91">
        <v>0</v>
      </c>
      <c r="J30" s="90">
        <v>0</v>
      </c>
      <c r="K30" s="91">
        <v>0</v>
      </c>
      <c r="L30" s="75" t="s">
        <v>10</v>
      </c>
      <c r="M30" s="21" t="s">
        <v>587</v>
      </c>
      <c r="N30" s="75" t="s">
        <v>20</v>
      </c>
      <c r="O30" s="21" t="s">
        <v>603</v>
      </c>
    </row>
    <row r="31" spans="1:15" ht="15.75" thickBot="1">
      <c r="A31" s="17" t="s">
        <v>74</v>
      </c>
      <c r="B31" s="90">
        <v>852</v>
      </c>
      <c r="C31" s="91">
        <v>852</v>
      </c>
      <c r="D31" s="90">
        <v>852</v>
      </c>
      <c r="E31" s="91">
        <v>852</v>
      </c>
      <c r="F31" s="90">
        <v>852</v>
      </c>
      <c r="G31" s="91">
        <v>852</v>
      </c>
      <c r="H31" s="90">
        <v>852</v>
      </c>
      <c r="I31" s="91">
        <v>852</v>
      </c>
      <c r="J31" s="90">
        <v>852</v>
      </c>
      <c r="K31" s="91">
        <v>852</v>
      </c>
      <c r="L31" s="75" t="s">
        <v>10</v>
      </c>
      <c r="M31" s="21" t="s">
        <v>587</v>
      </c>
      <c r="N31" s="75" t="s">
        <v>20</v>
      </c>
      <c r="O31" s="21" t="s">
        <v>603</v>
      </c>
    </row>
    <row r="32" spans="1:15" ht="15.75" thickBot="1">
      <c r="A32" s="17" t="s">
        <v>119</v>
      </c>
      <c r="B32" s="90">
        <v>180.45</v>
      </c>
      <c r="C32" s="91">
        <v>180.45</v>
      </c>
      <c r="D32" s="90">
        <v>180.45</v>
      </c>
      <c r="E32" s="91">
        <v>180.45</v>
      </c>
      <c r="F32" s="90">
        <v>180.45</v>
      </c>
      <c r="G32" s="91">
        <v>180.45</v>
      </c>
      <c r="H32" s="90">
        <v>180.45</v>
      </c>
      <c r="I32" s="91">
        <v>180.45</v>
      </c>
      <c r="J32" s="90">
        <v>180.45</v>
      </c>
      <c r="K32" s="91">
        <v>180.45</v>
      </c>
      <c r="L32" s="75" t="s">
        <v>14</v>
      </c>
      <c r="M32" s="21" t="s">
        <v>13</v>
      </c>
      <c r="N32" s="75" t="s">
        <v>20</v>
      </c>
      <c r="O32" s="21" t="s">
        <v>603</v>
      </c>
    </row>
    <row r="33" spans="1:15" ht="15.75" thickBot="1">
      <c r="A33" s="17" t="s">
        <v>77</v>
      </c>
      <c r="B33" s="90">
        <v>428</v>
      </c>
      <c r="C33" s="91">
        <v>428</v>
      </c>
      <c r="D33" s="90">
        <v>428</v>
      </c>
      <c r="E33" s="91">
        <v>428</v>
      </c>
      <c r="F33" s="90">
        <v>428</v>
      </c>
      <c r="G33" s="91">
        <v>428</v>
      </c>
      <c r="H33" s="90">
        <v>428</v>
      </c>
      <c r="I33" s="91">
        <v>428</v>
      </c>
      <c r="J33" s="90">
        <v>428</v>
      </c>
      <c r="K33" s="91">
        <v>428</v>
      </c>
      <c r="L33" s="75" t="s">
        <v>10</v>
      </c>
      <c r="M33" s="21" t="s">
        <v>587</v>
      </c>
      <c r="N33" s="75" t="s">
        <v>20</v>
      </c>
      <c r="O33" s="21" t="s">
        <v>603</v>
      </c>
    </row>
    <row r="34" spans="1:15" ht="15.75" thickBot="1">
      <c r="A34" s="17" t="s">
        <v>121</v>
      </c>
      <c r="B34" s="90">
        <v>55</v>
      </c>
      <c r="C34" s="91">
        <v>55</v>
      </c>
      <c r="D34" s="90">
        <v>55</v>
      </c>
      <c r="E34" s="91">
        <v>55</v>
      </c>
      <c r="F34" s="90">
        <v>55</v>
      </c>
      <c r="G34" s="91">
        <v>55</v>
      </c>
      <c r="H34" s="90">
        <v>55</v>
      </c>
      <c r="I34" s="91">
        <v>55</v>
      </c>
      <c r="J34" s="90">
        <v>55</v>
      </c>
      <c r="K34" s="91">
        <v>55</v>
      </c>
      <c r="L34" s="75" t="s">
        <v>14</v>
      </c>
      <c r="M34" s="21" t="s">
        <v>40</v>
      </c>
      <c r="N34" s="75" t="s">
        <v>20</v>
      </c>
      <c r="O34" s="21" t="s">
        <v>603</v>
      </c>
    </row>
    <row r="35" spans="1:15" ht="15.75" thickBot="1">
      <c r="A35" s="17" t="s">
        <v>79</v>
      </c>
      <c r="B35" s="90">
        <v>346</v>
      </c>
      <c r="C35" s="91">
        <v>346</v>
      </c>
      <c r="D35" s="90">
        <v>346</v>
      </c>
      <c r="E35" s="91">
        <v>346</v>
      </c>
      <c r="F35" s="90">
        <v>346</v>
      </c>
      <c r="G35" s="91">
        <v>346</v>
      </c>
      <c r="H35" s="90">
        <v>346</v>
      </c>
      <c r="I35" s="91">
        <v>346</v>
      </c>
      <c r="J35" s="90">
        <v>346</v>
      </c>
      <c r="K35" s="91">
        <v>346</v>
      </c>
      <c r="L35" s="75" t="s">
        <v>10</v>
      </c>
      <c r="M35" s="21" t="s">
        <v>587</v>
      </c>
      <c r="N35" s="75" t="s">
        <v>20</v>
      </c>
      <c r="O35" s="21" t="s">
        <v>603</v>
      </c>
    </row>
    <row r="36" spans="1:15" ht="15.75" thickBot="1">
      <c r="A36" s="17" t="s">
        <v>123</v>
      </c>
      <c r="B36" s="90">
        <v>25</v>
      </c>
      <c r="C36" s="91">
        <v>25</v>
      </c>
      <c r="D36" s="90">
        <v>25</v>
      </c>
      <c r="E36" s="91">
        <v>25</v>
      </c>
      <c r="F36" s="90">
        <v>25</v>
      </c>
      <c r="G36" s="91">
        <v>25</v>
      </c>
      <c r="H36" s="90">
        <v>25</v>
      </c>
      <c r="I36" s="91">
        <v>25</v>
      </c>
      <c r="J36" s="90">
        <v>25</v>
      </c>
      <c r="K36" s="91">
        <v>25</v>
      </c>
      <c r="L36" s="75" t="s">
        <v>14</v>
      </c>
      <c r="M36" s="21" t="s">
        <v>40</v>
      </c>
      <c r="N36" s="75" t="s">
        <v>20</v>
      </c>
      <c r="O36" s="21" t="s">
        <v>603</v>
      </c>
    </row>
    <row r="37" spans="1:15" ht="15.75" thickBot="1">
      <c r="A37" s="17" t="s">
        <v>82</v>
      </c>
      <c r="B37" s="90">
        <v>68</v>
      </c>
      <c r="C37" s="91">
        <v>68</v>
      </c>
      <c r="D37" s="90">
        <v>68</v>
      </c>
      <c r="E37" s="91">
        <v>68</v>
      </c>
      <c r="F37" s="90">
        <v>68</v>
      </c>
      <c r="G37" s="91">
        <v>68</v>
      </c>
      <c r="H37" s="90">
        <v>68</v>
      </c>
      <c r="I37" s="91">
        <v>68</v>
      </c>
      <c r="J37" s="90">
        <v>68</v>
      </c>
      <c r="K37" s="91">
        <v>68</v>
      </c>
      <c r="L37" s="75" t="s">
        <v>10</v>
      </c>
      <c r="M37" s="21" t="s">
        <v>587</v>
      </c>
      <c r="N37" s="75" t="s">
        <v>20</v>
      </c>
      <c r="O37" s="21" t="s">
        <v>603</v>
      </c>
    </row>
    <row r="38" spans="1:15" ht="15.75" thickBot="1">
      <c r="A38" s="17" t="s">
        <v>125</v>
      </c>
      <c r="B38" s="90">
        <v>116</v>
      </c>
      <c r="C38" s="91">
        <v>116</v>
      </c>
      <c r="D38" s="90">
        <v>116</v>
      </c>
      <c r="E38" s="91">
        <v>116</v>
      </c>
      <c r="F38" s="90">
        <v>116</v>
      </c>
      <c r="G38" s="91">
        <v>116</v>
      </c>
      <c r="H38" s="90">
        <v>116</v>
      </c>
      <c r="I38" s="91">
        <v>116</v>
      </c>
      <c r="J38" s="90">
        <v>116</v>
      </c>
      <c r="K38" s="91">
        <v>116</v>
      </c>
      <c r="L38" s="75" t="s">
        <v>14</v>
      </c>
      <c r="M38" s="21" t="s">
        <v>40</v>
      </c>
      <c r="N38" s="75" t="s">
        <v>20</v>
      </c>
      <c r="O38" s="21" t="s">
        <v>603</v>
      </c>
    </row>
    <row r="39" spans="1:15" ht="23.25" thickBot="1">
      <c r="A39" s="17" t="s">
        <v>742</v>
      </c>
      <c r="B39" s="90">
        <v>65</v>
      </c>
      <c r="C39" s="91">
        <v>65</v>
      </c>
      <c r="D39" s="90">
        <v>65</v>
      </c>
      <c r="E39" s="91">
        <v>65</v>
      </c>
      <c r="F39" s="90">
        <v>65</v>
      </c>
      <c r="G39" s="91">
        <v>65</v>
      </c>
      <c r="H39" s="90">
        <v>65</v>
      </c>
      <c r="I39" s="91">
        <v>65</v>
      </c>
      <c r="J39" s="90">
        <v>65</v>
      </c>
      <c r="K39" s="91">
        <v>65</v>
      </c>
      <c r="L39" s="75" t="s">
        <v>14</v>
      </c>
      <c r="M39" s="21" t="s">
        <v>40</v>
      </c>
      <c r="N39" s="75" t="s">
        <v>20</v>
      </c>
      <c r="O39" s="21" t="s">
        <v>603</v>
      </c>
    </row>
    <row r="40" spans="1:15" ht="15.75" thickBot="1">
      <c r="A40" s="17" t="s">
        <v>83</v>
      </c>
      <c r="B40" s="90">
        <v>1460</v>
      </c>
      <c r="C40" s="91">
        <v>1460</v>
      </c>
      <c r="D40" s="90">
        <v>1460</v>
      </c>
      <c r="E40" s="91">
        <v>1460</v>
      </c>
      <c r="F40" s="90">
        <v>1460</v>
      </c>
      <c r="G40" s="91">
        <v>1460</v>
      </c>
      <c r="H40" s="90">
        <v>1460</v>
      </c>
      <c r="I40" s="91">
        <v>1460</v>
      </c>
      <c r="J40" s="90">
        <v>1460</v>
      </c>
      <c r="K40" s="91">
        <v>1460</v>
      </c>
      <c r="L40" s="75" t="s">
        <v>10</v>
      </c>
      <c r="M40" s="21" t="s">
        <v>587</v>
      </c>
      <c r="N40" s="75" t="s">
        <v>20</v>
      </c>
      <c r="O40" s="21" t="s">
        <v>603</v>
      </c>
    </row>
    <row r="41" spans="1:15" ht="15.75" thickBot="1">
      <c r="A41" s="17" t="s">
        <v>196</v>
      </c>
      <c r="B41" s="90">
        <v>124</v>
      </c>
      <c r="C41" s="91">
        <v>124</v>
      </c>
      <c r="D41" s="90">
        <v>124</v>
      </c>
      <c r="E41" s="91">
        <v>124</v>
      </c>
      <c r="F41" s="90">
        <v>124</v>
      </c>
      <c r="G41" s="91">
        <v>124</v>
      </c>
      <c r="H41" s="90">
        <v>124</v>
      </c>
      <c r="I41" s="91">
        <v>124</v>
      </c>
      <c r="J41" s="90">
        <v>124</v>
      </c>
      <c r="K41" s="91">
        <v>124</v>
      </c>
      <c r="L41" s="75" t="s">
        <v>14</v>
      </c>
      <c r="M41" s="21" t="s">
        <v>40</v>
      </c>
      <c r="N41" s="75" t="s">
        <v>20</v>
      </c>
      <c r="O41" s="21" t="s">
        <v>603</v>
      </c>
    </row>
    <row r="42" spans="1:15" ht="15.75" thickBot="1">
      <c r="A42" s="17" t="s">
        <v>423</v>
      </c>
      <c r="B42" s="90">
        <v>75</v>
      </c>
      <c r="C42" s="91">
        <v>75</v>
      </c>
      <c r="D42" s="90">
        <v>75</v>
      </c>
      <c r="E42" s="91">
        <v>75</v>
      </c>
      <c r="F42" s="90">
        <v>75</v>
      </c>
      <c r="G42" s="91">
        <v>75</v>
      </c>
      <c r="H42" s="90">
        <v>75</v>
      </c>
      <c r="I42" s="91">
        <v>75</v>
      </c>
      <c r="J42" s="90">
        <v>75</v>
      </c>
      <c r="K42" s="91">
        <v>75</v>
      </c>
      <c r="L42" s="75" t="s">
        <v>14</v>
      </c>
      <c r="M42" s="21" t="s">
        <v>40</v>
      </c>
      <c r="N42" s="75" t="s">
        <v>20</v>
      </c>
      <c r="O42" s="21" t="s">
        <v>603</v>
      </c>
    </row>
    <row r="43" spans="1:15" ht="15.75" thickBot="1">
      <c r="A43" s="17" t="s">
        <v>85</v>
      </c>
      <c r="B43" s="90">
        <v>365</v>
      </c>
      <c r="C43" s="91">
        <v>365</v>
      </c>
      <c r="D43" s="90">
        <v>365</v>
      </c>
      <c r="E43" s="91">
        <v>365</v>
      </c>
      <c r="F43" s="90">
        <v>365</v>
      </c>
      <c r="G43" s="91">
        <v>365</v>
      </c>
      <c r="H43" s="90">
        <v>365</v>
      </c>
      <c r="I43" s="91">
        <v>365</v>
      </c>
      <c r="J43" s="90">
        <v>365</v>
      </c>
      <c r="K43" s="91">
        <v>365</v>
      </c>
      <c r="L43" s="75" t="s">
        <v>10</v>
      </c>
      <c r="M43" s="21" t="s">
        <v>587</v>
      </c>
      <c r="N43" s="75" t="s">
        <v>20</v>
      </c>
      <c r="O43" s="21" t="s">
        <v>603</v>
      </c>
    </row>
    <row r="44" spans="1:15" ht="15.75" thickBot="1">
      <c r="A44" s="17" t="s">
        <v>88</v>
      </c>
      <c r="B44" s="90">
        <v>1400</v>
      </c>
      <c r="C44" s="91">
        <v>1400</v>
      </c>
      <c r="D44" s="90">
        <v>1400</v>
      </c>
      <c r="E44" s="91">
        <v>1400</v>
      </c>
      <c r="F44" s="90">
        <v>1400</v>
      </c>
      <c r="G44" s="91">
        <v>1400</v>
      </c>
      <c r="H44" s="90">
        <v>1400</v>
      </c>
      <c r="I44" s="91">
        <v>1400</v>
      </c>
      <c r="J44" s="90">
        <v>1400</v>
      </c>
      <c r="K44" s="91">
        <v>1400</v>
      </c>
      <c r="L44" s="75" t="s">
        <v>10</v>
      </c>
      <c r="M44" s="21" t="s">
        <v>587</v>
      </c>
      <c r="N44" s="75" t="s">
        <v>20</v>
      </c>
      <c r="O44" s="21" t="s">
        <v>603</v>
      </c>
    </row>
    <row r="45" spans="1:15" ht="15.75" thickBot="1">
      <c r="A45" s="17" t="s">
        <v>90</v>
      </c>
      <c r="B45" s="90">
        <v>443</v>
      </c>
      <c r="C45" s="91">
        <v>443</v>
      </c>
      <c r="D45" s="90">
        <v>443</v>
      </c>
      <c r="E45" s="91">
        <v>443</v>
      </c>
      <c r="F45" s="90">
        <v>443</v>
      </c>
      <c r="G45" s="91">
        <v>443</v>
      </c>
      <c r="H45" s="90">
        <v>443</v>
      </c>
      <c r="I45" s="91">
        <v>443</v>
      </c>
      <c r="J45" s="90">
        <v>443</v>
      </c>
      <c r="K45" s="91">
        <v>443</v>
      </c>
      <c r="L45" s="75" t="s">
        <v>10</v>
      </c>
      <c r="M45" s="21" t="s">
        <v>587</v>
      </c>
      <c r="N45" s="75" t="s">
        <v>20</v>
      </c>
      <c r="O45" s="21" t="s">
        <v>603</v>
      </c>
    </row>
    <row r="46" spans="1:15" ht="15.75" thickBot="1">
      <c r="A46" s="17" t="s">
        <v>427</v>
      </c>
      <c r="B46" s="90">
        <v>52.5</v>
      </c>
      <c r="C46" s="91">
        <v>52.5</v>
      </c>
      <c r="D46" s="90">
        <v>52.5</v>
      </c>
      <c r="E46" s="91">
        <v>52.5</v>
      </c>
      <c r="F46" s="90">
        <v>52.5</v>
      </c>
      <c r="G46" s="91">
        <v>52.5</v>
      </c>
      <c r="H46" s="90">
        <v>52.5</v>
      </c>
      <c r="I46" s="91">
        <v>52.5</v>
      </c>
      <c r="J46" s="90">
        <v>52.5</v>
      </c>
      <c r="K46" s="91">
        <v>52.5</v>
      </c>
      <c r="L46" s="75" t="s">
        <v>14</v>
      </c>
      <c r="M46" s="21" t="s">
        <v>40</v>
      </c>
      <c r="N46" s="75" t="s">
        <v>20</v>
      </c>
      <c r="O46" s="21" t="s">
        <v>603</v>
      </c>
    </row>
    <row r="47" spans="1:15" ht="15.75" thickBot="1">
      <c r="A47" s="17" t="s">
        <v>92</v>
      </c>
      <c r="B47" s="90">
        <v>163</v>
      </c>
      <c r="C47" s="91">
        <v>161</v>
      </c>
      <c r="D47" s="90">
        <v>243</v>
      </c>
      <c r="E47" s="91">
        <v>243</v>
      </c>
      <c r="F47" s="90">
        <v>242</v>
      </c>
      <c r="G47" s="91">
        <v>242</v>
      </c>
      <c r="H47" s="90">
        <v>241</v>
      </c>
      <c r="I47" s="91">
        <v>241</v>
      </c>
      <c r="J47" s="90">
        <v>241</v>
      </c>
      <c r="K47" s="91">
        <v>240</v>
      </c>
      <c r="L47" s="75" t="s">
        <v>10</v>
      </c>
      <c r="M47" s="21" t="s">
        <v>587</v>
      </c>
      <c r="N47" s="75" t="s">
        <v>20</v>
      </c>
      <c r="O47" s="21" t="s">
        <v>603</v>
      </c>
    </row>
    <row r="48" spans="1:15" ht="15.75" thickBot="1">
      <c r="A48" s="17" t="s">
        <v>128</v>
      </c>
      <c r="B48" s="90">
        <v>57.5</v>
      </c>
      <c r="C48" s="91">
        <v>57.5</v>
      </c>
      <c r="D48" s="90">
        <v>57.5</v>
      </c>
      <c r="E48" s="91">
        <v>57.5</v>
      </c>
      <c r="F48" s="90">
        <v>57.5</v>
      </c>
      <c r="G48" s="91">
        <v>57.5</v>
      </c>
      <c r="H48" s="90">
        <v>57.5</v>
      </c>
      <c r="I48" s="91">
        <v>57.5</v>
      </c>
      <c r="J48" s="90">
        <v>57.5</v>
      </c>
      <c r="K48" s="91">
        <v>57.5</v>
      </c>
      <c r="L48" s="75" t="s">
        <v>14</v>
      </c>
      <c r="M48" s="21" t="s">
        <v>40</v>
      </c>
      <c r="N48" s="75" t="s">
        <v>20</v>
      </c>
      <c r="O48" s="21" t="s">
        <v>603</v>
      </c>
    </row>
    <row r="49" spans="1:15" ht="15.75" thickBot="1">
      <c r="A49" s="17" t="s">
        <v>94</v>
      </c>
      <c r="B49" s="90">
        <v>570</v>
      </c>
      <c r="C49" s="91">
        <v>570</v>
      </c>
      <c r="D49" s="90">
        <v>570</v>
      </c>
      <c r="E49" s="91">
        <v>570</v>
      </c>
      <c r="F49" s="90">
        <v>570</v>
      </c>
      <c r="G49" s="91">
        <v>570</v>
      </c>
      <c r="H49" s="90">
        <v>570</v>
      </c>
      <c r="I49" s="91">
        <v>570</v>
      </c>
      <c r="J49" s="90">
        <v>570</v>
      </c>
      <c r="K49" s="91">
        <v>570</v>
      </c>
      <c r="L49" s="75" t="s">
        <v>10</v>
      </c>
      <c r="M49" s="21" t="s">
        <v>589</v>
      </c>
      <c r="N49" s="75" t="s">
        <v>20</v>
      </c>
      <c r="O49" s="21" t="s">
        <v>603</v>
      </c>
    </row>
    <row r="50" spans="1:15" ht="15.75" thickBot="1">
      <c r="A50" s="17" t="s">
        <v>449</v>
      </c>
      <c r="B50" s="90">
        <v>0</v>
      </c>
      <c r="C50" s="91">
        <v>102.5</v>
      </c>
      <c r="D50" s="90">
        <v>102.5</v>
      </c>
      <c r="E50" s="91">
        <v>102.5</v>
      </c>
      <c r="F50" s="90">
        <v>102.5</v>
      </c>
      <c r="G50" s="91">
        <v>102.5</v>
      </c>
      <c r="H50" s="90">
        <v>102.5</v>
      </c>
      <c r="I50" s="91">
        <v>102.5</v>
      </c>
      <c r="J50" s="90">
        <v>102.5</v>
      </c>
      <c r="K50" s="91">
        <v>102.5</v>
      </c>
      <c r="L50" s="75" t="s">
        <v>14</v>
      </c>
      <c r="M50" s="21" t="s">
        <v>40</v>
      </c>
      <c r="N50" s="75" t="s">
        <v>20</v>
      </c>
      <c r="O50" s="21" t="s">
        <v>603</v>
      </c>
    </row>
    <row r="51" spans="1:15" ht="15.75" thickBot="1">
      <c r="A51" s="84"/>
      <c r="B51" s="84"/>
      <c r="C51" s="84"/>
      <c r="D51" s="84"/>
      <c r="E51" s="84"/>
      <c r="F51" s="84"/>
      <c r="G51" s="84"/>
      <c r="H51" s="84"/>
      <c r="I51" s="84"/>
      <c r="J51" s="84"/>
      <c r="K51" s="84"/>
      <c r="L51" s="84"/>
      <c r="M51" s="84"/>
      <c r="N51" s="84"/>
      <c r="O51" s="84"/>
    </row>
    <row r="52" spans="1:15" ht="18.75" customHeight="1" thickBot="1">
      <c r="A52" s="54" t="s">
        <v>96</v>
      </c>
      <c r="B52" s="95">
        <f>SUM(wiincapsalltable[2019])</f>
        <v>14149.749999999998</v>
      </c>
      <c r="C52" s="95">
        <f>SUM(wiincapsalltable[2020])</f>
        <v>14248.45</v>
      </c>
      <c r="D52" s="95">
        <f>SUM(wiincapsalltable[2021])</f>
        <v>14328.65</v>
      </c>
      <c r="E52" s="95">
        <f>SUM(wiincapsalltable[2022])</f>
        <v>14293.05</v>
      </c>
      <c r="F52" s="95">
        <f>SUM(wiincapsalltable[2023])</f>
        <v>14303.25</v>
      </c>
      <c r="G52" s="95">
        <f>SUM(wiincapsalltable[2024])</f>
        <v>14301.75</v>
      </c>
      <c r="H52" s="95">
        <f>SUM(wiincapsalltable[2025])</f>
        <v>14298.949999999999</v>
      </c>
      <c r="I52" s="95">
        <f>SUM(wiincapsalltable[2026])</f>
        <v>14297.35</v>
      </c>
      <c r="J52" s="95">
        <f>SUM(wiincapsalltable[2027])</f>
        <v>14295.75</v>
      </c>
      <c r="K52" s="95">
        <f>SUM(wiincapsalltable[2028])</f>
        <v>14292.949999999999</v>
      </c>
    </row>
    <row r="53" spans="1:15" s="98" customFormat="1" ht="32.25" customHeight="1">
      <c r="A53" s="25"/>
      <c r="B53" s="25"/>
      <c r="C53" s="25"/>
      <c r="D53" s="25"/>
      <c r="E53" s="25"/>
      <c r="F53" s="25"/>
      <c r="G53" s="25"/>
      <c r="H53" s="25"/>
      <c r="I53" s="25"/>
      <c r="J53" s="25"/>
      <c r="K53" s="25"/>
      <c r="L53" s="25"/>
      <c r="M53" s="25"/>
      <c r="N53" s="25"/>
      <c r="O53" s="25"/>
    </row>
    <row r="54" spans="1:15" s="98" customFormat="1" ht="45" customHeight="1">
      <c r="A54" s="155" t="s">
        <v>604</v>
      </c>
      <c r="B54" s="156"/>
      <c r="C54" s="156"/>
      <c r="D54" s="156"/>
      <c r="E54" s="156"/>
      <c r="F54" s="156"/>
      <c r="G54" s="156"/>
      <c r="H54" s="156"/>
      <c r="I54" s="156"/>
      <c r="J54" s="156"/>
      <c r="K54" s="156"/>
      <c r="L54" s="156"/>
    </row>
    <row r="55" spans="1:15" s="98" customFormat="1" ht="44.25" customHeight="1">
      <c r="A55" s="155" t="s">
        <v>591</v>
      </c>
      <c r="B55" s="156"/>
      <c r="C55" s="156"/>
      <c r="D55" s="156"/>
      <c r="E55" s="156"/>
      <c r="F55" s="156"/>
      <c r="G55" s="156"/>
      <c r="H55" s="156"/>
      <c r="I55" s="156"/>
      <c r="J55" s="156"/>
      <c r="K55" s="156"/>
      <c r="L55" s="156"/>
    </row>
    <row r="56" spans="1:15" s="98" customFormat="1" ht="52.5" customHeight="1">
      <c r="A56" s="155" t="s">
        <v>592</v>
      </c>
      <c r="B56" s="156"/>
      <c r="C56" s="156"/>
      <c r="D56" s="156"/>
      <c r="E56" s="156"/>
      <c r="F56" s="156"/>
      <c r="G56" s="156"/>
      <c r="H56" s="156"/>
      <c r="I56" s="156"/>
      <c r="J56" s="156"/>
      <c r="K56" s="156"/>
      <c r="L56" s="156"/>
    </row>
    <row r="57" spans="1:15">
      <c r="A57" s="155" t="s">
        <v>605</v>
      </c>
      <c r="B57" s="156"/>
      <c r="C57" s="156"/>
      <c r="D57" s="156"/>
      <c r="E57" s="156"/>
      <c r="F57" s="156"/>
      <c r="G57" s="156"/>
      <c r="H57" s="156"/>
      <c r="I57" s="156"/>
      <c r="J57" s="156"/>
      <c r="K57" s="156"/>
      <c r="L57" s="156"/>
      <c r="M57" s="98"/>
      <c r="N57" s="98"/>
      <c r="O57" s="98"/>
    </row>
    <row r="58" spans="1:15" ht="15.75" thickBot="1"/>
    <row r="59" spans="1:15" ht="20.25" thickBot="1">
      <c r="A59" s="29" t="s">
        <v>606</v>
      </c>
    </row>
    <row r="60" spans="1:15" ht="15.75" thickBot="1">
      <c r="A60" s="87" t="s">
        <v>584</v>
      </c>
      <c r="B60" s="87" t="s">
        <v>673</v>
      </c>
      <c r="C60" s="87" t="s">
        <v>674</v>
      </c>
      <c r="D60" s="87" t="s">
        <v>675</v>
      </c>
      <c r="E60" s="87" t="s">
        <v>676</v>
      </c>
      <c r="F60" s="87" t="s">
        <v>677</v>
      </c>
      <c r="G60" s="87" t="s">
        <v>678</v>
      </c>
      <c r="H60" s="87" t="s">
        <v>679</v>
      </c>
      <c r="I60" s="87" t="s">
        <v>680</v>
      </c>
      <c r="J60" s="87" t="s">
        <v>681</v>
      </c>
      <c r="K60" s="87" t="s">
        <v>682</v>
      </c>
      <c r="L60" s="87" t="s">
        <v>683</v>
      </c>
      <c r="M60" s="56" t="s">
        <v>585</v>
      </c>
      <c r="N60" s="56" t="s">
        <v>7</v>
      </c>
      <c r="O60" s="56" t="s">
        <v>586</v>
      </c>
    </row>
    <row r="61" spans="1:15" ht="15.75" thickBot="1">
      <c r="A61" s="2" t="s">
        <v>17</v>
      </c>
      <c r="B61" s="96">
        <v>37</v>
      </c>
      <c r="C61" s="97">
        <v>37</v>
      </c>
      <c r="D61" s="96">
        <v>37</v>
      </c>
      <c r="E61" s="97">
        <v>37</v>
      </c>
      <c r="F61" s="96">
        <v>37</v>
      </c>
      <c r="G61" s="97">
        <v>37</v>
      </c>
      <c r="H61" s="96">
        <v>37</v>
      </c>
      <c r="I61" s="97">
        <v>37</v>
      </c>
      <c r="J61" s="96">
        <v>37</v>
      </c>
      <c r="K61" s="97">
        <v>37</v>
      </c>
      <c r="L61" s="6" t="s">
        <v>10</v>
      </c>
      <c r="M61" s="7" t="s">
        <v>587</v>
      </c>
      <c r="N61" s="6" t="s">
        <v>20</v>
      </c>
      <c r="O61" s="7" t="s">
        <v>603</v>
      </c>
    </row>
    <row r="62" spans="1:15" ht="15.75" thickBot="1">
      <c r="A62" s="2" t="s">
        <v>21</v>
      </c>
      <c r="B62" s="96">
        <v>66</v>
      </c>
      <c r="C62" s="97">
        <v>66</v>
      </c>
      <c r="D62" s="96">
        <v>66</v>
      </c>
      <c r="E62" s="97">
        <v>66</v>
      </c>
      <c r="F62" s="96">
        <v>66</v>
      </c>
      <c r="G62" s="97">
        <v>66</v>
      </c>
      <c r="H62" s="96">
        <v>66</v>
      </c>
      <c r="I62" s="97">
        <v>66</v>
      </c>
      <c r="J62" s="96">
        <v>66</v>
      </c>
      <c r="K62" s="97">
        <v>66</v>
      </c>
      <c r="L62" s="6" t="s">
        <v>10</v>
      </c>
      <c r="M62" s="7" t="s">
        <v>589</v>
      </c>
      <c r="N62" s="6" t="s">
        <v>20</v>
      </c>
      <c r="O62" s="7" t="s">
        <v>603</v>
      </c>
    </row>
    <row r="63" spans="1:15" ht="15.75" thickBot="1">
      <c r="A63" s="2" t="s">
        <v>31</v>
      </c>
      <c r="B63" s="96">
        <v>530</v>
      </c>
      <c r="C63" s="97">
        <v>530</v>
      </c>
      <c r="D63" s="96">
        <v>530</v>
      </c>
      <c r="E63" s="97">
        <v>530</v>
      </c>
      <c r="F63" s="96">
        <v>543</v>
      </c>
      <c r="G63" s="97">
        <v>543</v>
      </c>
      <c r="H63" s="96">
        <v>543</v>
      </c>
      <c r="I63" s="97">
        <v>543</v>
      </c>
      <c r="J63" s="96">
        <v>543</v>
      </c>
      <c r="K63" s="97">
        <v>543</v>
      </c>
      <c r="L63" s="6" t="s">
        <v>10</v>
      </c>
      <c r="M63" s="7" t="s">
        <v>587</v>
      </c>
      <c r="N63" s="6" t="s">
        <v>20</v>
      </c>
      <c r="O63" s="7" t="s">
        <v>603</v>
      </c>
    </row>
    <row r="64" spans="1:15" ht="15.75" thickBot="1">
      <c r="A64" s="2" t="s">
        <v>35</v>
      </c>
      <c r="B64" s="96">
        <v>519</v>
      </c>
      <c r="C64" s="97">
        <v>519</v>
      </c>
      <c r="D64" s="96">
        <v>519</v>
      </c>
      <c r="E64" s="97">
        <v>519</v>
      </c>
      <c r="F64" s="96">
        <v>519</v>
      </c>
      <c r="G64" s="97">
        <v>519</v>
      </c>
      <c r="H64" s="96">
        <v>519</v>
      </c>
      <c r="I64" s="97">
        <v>519</v>
      </c>
      <c r="J64" s="96">
        <v>519</v>
      </c>
      <c r="K64" s="97">
        <v>519</v>
      </c>
      <c r="L64" s="6" t="s">
        <v>10</v>
      </c>
      <c r="M64" s="7" t="s">
        <v>587</v>
      </c>
      <c r="N64" s="6" t="s">
        <v>20</v>
      </c>
      <c r="O64" s="7" t="s">
        <v>603</v>
      </c>
    </row>
    <row r="65" spans="1:15" ht="15.75" thickBot="1">
      <c r="A65" s="2" t="s">
        <v>41</v>
      </c>
      <c r="B65" s="96">
        <v>700</v>
      </c>
      <c r="C65" s="97">
        <v>700</v>
      </c>
      <c r="D65" s="96">
        <v>700</v>
      </c>
      <c r="E65" s="97">
        <v>700</v>
      </c>
      <c r="F65" s="96">
        <v>700</v>
      </c>
      <c r="G65" s="97">
        <v>700</v>
      </c>
      <c r="H65" s="96">
        <v>700</v>
      </c>
      <c r="I65" s="97">
        <v>700</v>
      </c>
      <c r="J65" s="96">
        <v>700</v>
      </c>
      <c r="K65" s="97">
        <v>700</v>
      </c>
      <c r="L65" s="6" t="s">
        <v>10</v>
      </c>
      <c r="M65" s="7" t="s">
        <v>587</v>
      </c>
      <c r="N65" s="6" t="s">
        <v>20</v>
      </c>
      <c r="O65" s="7" t="s">
        <v>603</v>
      </c>
    </row>
    <row r="66" spans="1:15" ht="15.75" thickBot="1">
      <c r="A66" s="2" t="s">
        <v>44</v>
      </c>
      <c r="B66" s="96">
        <v>840</v>
      </c>
      <c r="C66" s="97">
        <v>840</v>
      </c>
      <c r="D66" s="96">
        <v>840</v>
      </c>
      <c r="E66" s="97">
        <v>840</v>
      </c>
      <c r="F66" s="96">
        <v>840</v>
      </c>
      <c r="G66" s="97">
        <v>840</v>
      </c>
      <c r="H66" s="96">
        <v>840</v>
      </c>
      <c r="I66" s="97">
        <v>840</v>
      </c>
      <c r="J66" s="96">
        <v>840</v>
      </c>
      <c r="K66" s="97">
        <v>840</v>
      </c>
      <c r="L66" s="6" t="s">
        <v>10</v>
      </c>
      <c r="M66" s="7" t="s">
        <v>587</v>
      </c>
      <c r="N66" s="6" t="s">
        <v>20</v>
      </c>
      <c r="O66" s="7" t="s">
        <v>603</v>
      </c>
    </row>
    <row r="67" spans="1:15" ht="15.75" thickBot="1">
      <c r="A67" s="2" t="s">
        <v>52</v>
      </c>
      <c r="B67" s="96">
        <v>100</v>
      </c>
      <c r="C67" s="97">
        <v>100</v>
      </c>
      <c r="D67" s="96">
        <v>100</v>
      </c>
      <c r="E67" s="97">
        <v>100</v>
      </c>
      <c r="F67" s="96">
        <v>100</v>
      </c>
      <c r="G67" s="97">
        <v>100</v>
      </c>
      <c r="H67" s="96">
        <v>100</v>
      </c>
      <c r="I67" s="97">
        <v>100</v>
      </c>
      <c r="J67" s="96">
        <v>100</v>
      </c>
      <c r="K67" s="97">
        <v>100</v>
      </c>
      <c r="L67" s="6" t="s">
        <v>10</v>
      </c>
      <c r="M67" s="7" t="s">
        <v>587</v>
      </c>
      <c r="N67" s="6" t="s">
        <v>20</v>
      </c>
      <c r="O67" s="7" t="s">
        <v>603</v>
      </c>
    </row>
    <row r="68" spans="1:15" ht="15.75" thickBot="1">
      <c r="A68" s="2" t="s">
        <v>56</v>
      </c>
      <c r="B68" s="96">
        <v>633</v>
      </c>
      <c r="C68" s="97">
        <v>633</v>
      </c>
      <c r="D68" s="96">
        <v>633</v>
      </c>
      <c r="E68" s="97">
        <v>633</v>
      </c>
      <c r="F68" s="96">
        <v>633</v>
      </c>
      <c r="G68" s="97">
        <v>633</v>
      </c>
      <c r="H68" s="96">
        <v>633</v>
      </c>
      <c r="I68" s="97">
        <v>633</v>
      </c>
      <c r="J68" s="96">
        <v>633</v>
      </c>
      <c r="K68" s="97">
        <v>633</v>
      </c>
      <c r="L68" s="6" t="s">
        <v>10</v>
      </c>
      <c r="M68" s="7" t="s">
        <v>587</v>
      </c>
      <c r="N68" s="6" t="s">
        <v>20</v>
      </c>
      <c r="O68" s="7" t="s">
        <v>603</v>
      </c>
    </row>
    <row r="69" spans="1:15" ht="15.75" thickBot="1">
      <c r="A69" s="2" t="s">
        <v>59</v>
      </c>
      <c r="B69" s="96">
        <v>1680</v>
      </c>
      <c r="C69" s="97">
        <v>1680</v>
      </c>
      <c r="D69" s="96">
        <v>1680</v>
      </c>
      <c r="E69" s="97">
        <v>1680</v>
      </c>
      <c r="F69" s="96">
        <v>1680</v>
      </c>
      <c r="G69" s="97">
        <v>1680</v>
      </c>
      <c r="H69" s="96">
        <v>1680</v>
      </c>
      <c r="I69" s="97">
        <v>1680</v>
      </c>
      <c r="J69" s="96">
        <v>1680</v>
      </c>
      <c r="K69" s="97">
        <v>1680</v>
      </c>
      <c r="L69" s="6" t="s">
        <v>10</v>
      </c>
      <c r="M69" s="7" t="s">
        <v>587</v>
      </c>
      <c r="N69" s="6" t="s">
        <v>20</v>
      </c>
      <c r="O69" s="7" t="s">
        <v>603</v>
      </c>
    </row>
    <row r="70" spans="1:15" ht="15.75" thickBot="1">
      <c r="A70" s="2" t="s">
        <v>63</v>
      </c>
      <c r="B70" s="96">
        <v>86.4</v>
      </c>
      <c r="C70" s="97">
        <v>86.4</v>
      </c>
      <c r="D70" s="96">
        <v>86.4</v>
      </c>
      <c r="E70" s="97">
        <v>86.4</v>
      </c>
      <c r="F70" s="96">
        <v>86.4</v>
      </c>
      <c r="G70" s="97">
        <v>86.4</v>
      </c>
      <c r="H70" s="96">
        <v>86.4</v>
      </c>
      <c r="I70" s="97">
        <v>86.4</v>
      </c>
      <c r="J70" s="96">
        <v>86.4</v>
      </c>
      <c r="K70" s="97">
        <v>86.4</v>
      </c>
      <c r="L70" s="6" t="s">
        <v>10</v>
      </c>
      <c r="M70" s="7" t="s">
        <v>589</v>
      </c>
      <c r="N70" s="6" t="s">
        <v>20</v>
      </c>
      <c r="O70" s="7" t="s">
        <v>603</v>
      </c>
    </row>
    <row r="71" spans="1:15" ht="15.75" thickBot="1">
      <c r="A71" s="2" t="s">
        <v>68</v>
      </c>
      <c r="B71" s="96">
        <v>750</v>
      </c>
      <c r="C71" s="97">
        <v>750</v>
      </c>
      <c r="D71" s="96">
        <v>750</v>
      </c>
      <c r="E71" s="97">
        <v>750</v>
      </c>
      <c r="F71" s="96">
        <v>750</v>
      </c>
      <c r="G71" s="97">
        <v>750</v>
      </c>
      <c r="H71" s="96">
        <v>750</v>
      </c>
      <c r="I71" s="97">
        <v>750</v>
      </c>
      <c r="J71" s="96">
        <v>750</v>
      </c>
      <c r="K71" s="97">
        <v>750</v>
      </c>
      <c r="L71" s="6" t="s">
        <v>10</v>
      </c>
      <c r="M71" s="7" t="s">
        <v>587</v>
      </c>
      <c r="N71" s="6" t="s">
        <v>20</v>
      </c>
      <c r="O71" s="7" t="s">
        <v>603</v>
      </c>
    </row>
    <row r="72" spans="1:15" ht="15.75" thickBot="1">
      <c r="A72" s="2" t="s">
        <v>72</v>
      </c>
      <c r="B72" s="96">
        <v>34</v>
      </c>
      <c r="C72" s="97">
        <v>34</v>
      </c>
      <c r="D72" s="96">
        <v>34</v>
      </c>
      <c r="E72" s="97">
        <v>0</v>
      </c>
      <c r="F72" s="96">
        <v>0</v>
      </c>
      <c r="G72" s="97">
        <v>0</v>
      </c>
      <c r="H72" s="96">
        <v>0</v>
      </c>
      <c r="I72" s="97">
        <v>0</v>
      </c>
      <c r="J72" s="96">
        <v>0</v>
      </c>
      <c r="K72" s="97">
        <v>0</v>
      </c>
      <c r="L72" s="6" t="s">
        <v>10</v>
      </c>
      <c r="M72" s="7" t="s">
        <v>587</v>
      </c>
      <c r="N72" s="6" t="s">
        <v>20</v>
      </c>
      <c r="O72" s="7" t="s">
        <v>603</v>
      </c>
    </row>
    <row r="73" spans="1:15" ht="15.75" thickBot="1">
      <c r="A73" s="2" t="s">
        <v>74</v>
      </c>
      <c r="B73" s="96">
        <v>852</v>
      </c>
      <c r="C73" s="97">
        <v>852</v>
      </c>
      <c r="D73" s="96">
        <v>852</v>
      </c>
      <c r="E73" s="97">
        <v>852</v>
      </c>
      <c r="F73" s="96">
        <v>852</v>
      </c>
      <c r="G73" s="97">
        <v>852</v>
      </c>
      <c r="H73" s="96">
        <v>852</v>
      </c>
      <c r="I73" s="97">
        <v>852</v>
      </c>
      <c r="J73" s="96">
        <v>852</v>
      </c>
      <c r="K73" s="97">
        <v>852</v>
      </c>
      <c r="L73" s="6" t="s">
        <v>10</v>
      </c>
      <c r="M73" s="7" t="s">
        <v>587</v>
      </c>
      <c r="N73" s="6" t="s">
        <v>20</v>
      </c>
      <c r="O73" s="7" t="s">
        <v>603</v>
      </c>
    </row>
    <row r="74" spans="1:15" ht="15.75" thickBot="1">
      <c r="A74" s="2" t="s">
        <v>77</v>
      </c>
      <c r="B74" s="96">
        <v>428</v>
      </c>
      <c r="C74" s="97">
        <v>428</v>
      </c>
      <c r="D74" s="96">
        <v>428</v>
      </c>
      <c r="E74" s="97">
        <v>428</v>
      </c>
      <c r="F74" s="96">
        <v>428</v>
      </c>
      <c r="G74" s="97">
        <v>428</v>
      </c>
      <c r="H74" s="96">
        <v>428</v>
      </c>
      <c r="I74" s="97">
        <v>428</v>
      </c>
      <c r="J74" s="96">
        <v>428</v>
      </c>
      <c r="K74" s="97">
        <v>428</v>
      </c>
      <c r="L74" s="6" t="s">
        <v>10</v>
      </c>
      <c r="M74" s="7" t="s">
        <v>587</v>
      </c>
      <c r="N74" s="6" t="s">
        <v>20</v>
      </c>
      <c r="O74" s="7" t="s">
        <v>603</v>
      </c>
    </row>
    <row r="75" spans="1:15" ht="15.75" thickBot="1">
      <c r="A75" s="2" t="s">
        <v>79</v>
      </c>
      <c r="B75" s="96">
        <v>346</v>
      </c>
      <c r="C75" s="97">
        <v>346</v>
      </c>
      <c r="D75" s="96">
        <v>346</v>
      </c>
      <c r="E75" s="97">
        <v>346</v>
      </c>
      <c r="F75" s="96">
        <v>346</v>
      </c>
      <c r="G75" s="97">
        <v>346</v>
      </c>
      <c r="H75" s="96">
        <v>346</v>
      </c>
      <c r="I75" s="97">
        <v>346</v>
      </c>
      <c r="J75" s="96">
        <v>346</v>
      </c>
      <c r="K75" s="97">
        <v>346</v>
      </c>
      <c r="L75" s="6" t="s">
        <v>10</v>
      </c>
      <c r="M75" s="7" t="s">
        <v>587</v>
      </c>
      <c r="N75" s="6" t="s">
        <v>20</v>
      </c>
      <c r="O75" s="7" t="s">
        <v>603</v>
      </c>
    </row>
    <row r="76" spans="1:15" ht="15.75" thickBot="1">
      <c r="A76" s="2" t="s">
        <v>82</v>
      </c>
      <c r="B76" s="96">
        <v>68</v>
      </c>
      <c r="C76" s="97">
        <v>68</v>
      </c>
      <c r="D76" s="96">
        <v>68</v>
      </c>
      <c r="E76" s="97">
        <v>68</v>
      </c>
      <c r="F76" s="96">
        <v>68</v>
      </c>
      <c r="G76" s="97">
        <v>68</v>
      </c>
      <c r="H76" s="96">
        <v>68</v>
      </c>
      <c r="I76" s="97">
        <v>68</v>
      </c>
      <c r="J76" s="96">
        <v>68</v>
      </c>
      <c r="K76" s="97">
        <v>68</v>
      </c>
      <c r="L76" s="6" t="s">
        <v>10</v>
      </c>
      <c r="M76" s="7" t="s">
        <v>587</v>
      </c>
      <c r="N76" s="6" t="s">
        <v>20</v>
      </c>
      <c r="O76" s="7" t="s">
        <v>603</v>
      </c>
    </row>
    <row r="77" spans="1:15" ht="15.75" thickBot="1">
      <c r="A77" s="2" t="s">
        <v>83</v>
      </c>
      <c r="B77" s="96">
        <v>1460</v>
      </c>
      <c r="C77" s="97">
        <v>1460</v>
      </c>
      <c r="D77" s="96">
        <v>1460</v>
      </c>
      <c r="E77" s="97">
        <v>1460</v>
      </c>
      <c r="F77" s="96">
        <v>1460</v>
      </c>
      <c r="G77" s="97">
        <v>1460</v>
      </c>
      <c r="H77" s="96">
        <v>1460</v>
      </c>
      <c r="I77" s="97">
        <v>1460</v>
      </c>
      <c r="J77" s="96">
        <v>1460</v>
      </c>
      <c r="K77" s="97">
        <v>1460</v>
      </c>
      <c r="L77" s="6" t="s">
        <v>10</v>
      </c>
      <c r="M77" s="7" t="s">
        <v>587</v>
      </c>
      <c r="N77" s="6" t="s">
        <v>20</v>
      </c>
      <c r="O77" s="7" t="s">
        <v>603</v>
      </c>
    </row>
    <row r="78" spans="1:15" ht="15.75" thickBot="1">
      <c r="A78" s="2" t="s">
        <v>85</v>
      </c>
      <c r="B78" s="96">
        <v>365</v>
      </c>
      <c r="C78" s="97">
        <v>365</v>
      </c>
      <c r="D78" s="96">
        <v>365</v>
      </c>
      <c r="E78" s="97">
        <v>365</v>
      </c>
      <c r="F78" s="96">
        <v>365</v>
      </c>
      <c r="G78" s="97">
        <v>365</v>
      </c>
      <c r="H78" s="96">
        <v>365</v>
      </c>
      <c r="I78" s="97">
        <v>365</v>
      </c>
      <c r="J78" s="96">
        <v>365</v>
      </c>
      <c r="K78" s="97">
        <v>365</v>
      </c>
      <c r="L78" s="6" t="s">
        <v>10</v>
      </c>
      <c r="M78" s="7" t="s">
        <v>587</v>
      </c>
      <c r="N78" s="6" t="s">
        <v>20</v>
      </c>
      <c r="O78" s="7" t="s">
        <v>603</v>
      </c>
    </row>
    <row r="79" spans="1:15" ht="15.75" thickBot="1">
      <c r="A79" s="2" t="s">
        <v>88</v>
      </c>
      <c r="B79" s="96">
        <v>1400</v>
      </c>
      <c r="C79" s="97">
        <v>1400</v>
      </c>
      <c r="D79" s="96">
        <v>1400</v>
      </c>
      <c r="E79" s="97">
        <v>1400</v>
      </c>
      <c r="F79" s="96">
        <v>1400</v>
      </c>
      <c r="G79" s="97">
        <v>1400</v>
      </c>
      <c r="H79" s="96">
        <v>1400</v>
      </c>
      <c r="I79" s="97">
        <v>1400</v>
      </c>
      <c r="J79" s="96">
        <v>1400</v>
      </c>
      <c r="K79" s="97">
        <v>1400</v>
      </c>
      <c r="L79" s="6" t="s">
        <v>10</v>
      </c>
      <c r="M79" s="7" t="s">
        <v>587</v>
      </c>
      <c r="N79" s="6" t="s">
        <v>20</v>
      </c>
      <c r="O79" s="7" t="s">
        <v>603</v>
      </c>
    </row>
    <row r="80" spans="1:15" ht="15.75" thickBot="1">
      <c r="A80" s="2" t="s">
        <v>90</v>
      </c>
      <c r="B80" s="96">
        <v>443</v>
      </c>
      <c r="C80" s="97">
        <v>443</v>
      </c>
      <c r="D80" s="96">
        <v>443</v>
      </c>
      <c r="E80" s="97">
        <v>443</v>
      </c>
      <c r="F80" s="96">
        <v>443</v>
      </c>
      <c r="G80" s="97">
        <v>443</v>
      </c>
      <c r="H80" s="96">
        <v>443</v>
      </c>
      <c r="I80" s="97">
        <v>443</v>
      </c>
      <c r="J80" s="96">
        <v>443</v>
      </c>
      <c r="K80" s="97">
        <v>443</v>
      </c>
      <c r="L80" s="6" t="s">
        <v>10</v>
      </c>
      <c r="M80" s="7" t="s">
        <v>587</v>
      </c>
      <c r="N80" s="6" t="s">
        <v>20</v>
      </c>
      <c r="O80" s="7" t="s">
        <v>603</v>
      </c>
    </row>
    <row r="81" spans="1:15" ht="15.75" thickBot="1">
      <c r="A81" s="2" t="s">
        <v>92</v>
      </c>
      <c r="B81" s="96">
        <v>163</v>
      </c>
      <c r="C81" s="97">
        <v>161</v>
      </c>
      <c r="D81" s="96">
        <v>243</v>
      </c>
      <c r="E81" s="97">
        <v>243</v>
      </c>
      <c r="F81" s="96">
        <v>242</v>
      </c>
      <c r="G81" s="97">
        <v>242</v>
      </c>
      <c r="H81" s="96">
        <v>241</v>
      </c>
      <c r="I81" s="97">
        <v>241</v>
      </c>
      <c r="J81" s="96">
        <v>241</v>
      </c>
      <c r="K81" s="97">
        <v>240</v>
      </c>
      <c r="L81" s="6" t="s">
        <v>10</v>
      </c>
      <c r="M81" s="7" t="s">
        <v>587</v>
      </c>
      <c r="N81" s="6" t="s">
        <v>20</v>
      </c>
      <c r="O81" s="7" t="s">
        <v>603</v>
      </c>
    </row>
    <row r="82" spans="1:15" ht="15.75" thickBot="1">
      <c r="A82" s="2" t="s">
        <v>94</v>
      </c>
      <c r="B82" s="96">
        <v>570</v>
      </c>
      <c r="C82" s="97">
        <v>570</v>
      </c>
      <c r="D82" s="96">
        <v>570</v>
      </c>
      <c r="E82" s="97">
        <v>570</v>
      </c>
      <c r="F82" s="96">
        <v>570</v>
      </c>
      <c r="G82" s="97">
        <v>570</v>
      </c>
      <c r="H82" s="96">
        <v>570</v>
      </c>
      <c r="I82" s="97">
        <v>570</v>
      </c>
      <c r="J82" s="96">
        <v>570</v>
      </c>
      <c r="K82" s="97">
        <v>570</v>
      </c>
      <c r="L82" s="6" t="s">
        <v>10</v>
      </c>
      <c r="M82" s="7" t="s">
        <v>589</v>
      </c>
      <c r="N82" s="6" t="s">
        <v>20</v>
      </c>
      <c r="O82" s="7" t="s">
        <v>603</v>
      </c>
    </row>
    <row r="83" spans="1:15" ht="15.75" thickBot="1">
      <c r="B83" s="94"/>
      <c r="C83" s="94"/>
      <c r="D83" s="94"/>
      <c r="E83" s="94"/>
      <c r="F83" s="94"/>
      <c r="G83" s="94"/>
      <c r="H83" s="94"/>
      <c r="I83" s="94"/>
      <c r="J83" s="94"/>
      <c r="K83" s="94"/>
    </row>
    <row r="84" spans="1:15" ht="15.75" thickBot="1">
      <c r="A84" s="2" t="s">
        <v>595</v>
      </c>
      <c r="B84" s="96" t="s">
        <v>596</v>
      </c>
      <c r="C84" s="97" t="s">
        <v>596</v>
      </c>
      <c r="D84" s="96" t="s">
        <v>596</v>
      </c>
      <c r="E84" s="97" t="s">
        <v>596</v>
      </c>
      <c r="F84" s="96" t="s">
        <v>596</v>
      </c>
      <c r="G84" s="97" t="s">
        <v>596</v>
      </c>
      <c r="H84" s="96" t="s">
        <v>596</v>
      </c>
      <c r="I84" s="97" t="s">
        <v>596</v>
      </c>
      <c r="J84" s="96" t="s">
        <v>596</v>
      </c>
      <c r="K84" s="97" t="s">
        <v>596</v>
      </c>
      <c r="L84" s="6" t="s">
        <v>14</v>
      </c>
    </row>
    <row r="85" spans="1:15" ht="15.75" thickBot="1">
      <c r="A85" s="2" t="s">
        <v>597</v>
      </c>
      <c r="B85" s="96" t="s">
        <v>596</v>
      </c>
      <c r="C85" s="97" t="s">
        <v>596</v>
      </c>
      <c r="D85" s="96" t="s">
        <v>596</v>
      </c>
      <c r="E85" s="97" t="s">
        <v>596</v>
      </c>
      <c r="F85" s="96" t="s">
        <v>596</v>
      </c>
      <c r="G85" s="97" t="s">
        <v>596</v>
      </c>
      <c r="H85" s="96" t="s">
        <v>596</v>
      </c>
      <c r="I85" s="97" t="s">
        <v>596</v>
      </c>
      <c r="J85" s="96" t="s">
        <v>596</v>
      </c>
      <c r="K85" s="97" t="s">
        <v>596</v>
      </c>
      <c r="L85" s="6" t="s">
        <v>14</v>
      </c>
    </row>
    <row r="86" spans="1:15" ht="15.75" thickBot="1">
      <c r="A86" s="54" t="s">
        <v>96</v>
      </c>
      <c r="B86" s="95">
        <f>SUM(wincapsstable[2019])</f>
        <v>12070.4</v>
      </c>
      <c r="C86" s="95">
        <f>SUM(wincapsstable[2020])</f>
        <v>12068.4</v>
      </c>
      <c r="D86" s="95">
        <f>SUM(wincapsstable[2021])</f>
        <v>12150.4</v>
      </c>
      <c r="E86" s="95">
        <f>SUM(wincapsstable[2022])</f>
        <v>12116.4</v>
      </c>
      <c r="F86" s="95">
        <f>SUM(wincapsstable[2023])</f>
        <v>12128.4</v>
      </c>
      <c r="G86" s="95">
        <f>SUM(wincapsstable[2024])</f>
        <v>12128.4</v>
      </c>
      <c r="H86" s="95">
        <f>SUM(wincapsstable[2025])</f>
        <v>12127.4</v>
      </c>
      <c r="I86" s="95">
        <f>SUM(wincapsstable[2026])</f>
        <v>12127.4</v>
      </c>
      <c r="J86" s="95">
        <f>SUM(wincapsstable[2027])</f>
        <v>12127.4</v>
      </c>
      <c r="K86" s="95">
        <f>SUM(wincapsstable[2028])</f>
        <v>12126.4</v>
      </c>
      <c r="L86" s="55"/>
    </row>
    <row r="87" spans="1:15" ht="15.75" thickBot="1"/>
    <row r="88" spans="1:15" ht="20.25" thickBot="1">
      <c r="A88" s="29" t="s">
        <v>607</v>
      </c>
    </row>
    <row r="89" spans="1:15" ht="15.75" thickBot="1">
      <c r="A89" s="87" t="s">
        <v>584</v>
      </c>
      <c r="B89" s="87" t="s">
        <v>673</v>
      </c>
      <c r="C89" s="87" t="s">
        <v>674</v>
      </c>
      <c r="D89" s="87" t="s">
        <v>675</v>
      </c>
      <c r="E89" s="87" t="s">
        <v>676</v>
      </c>
      <c r="F89" s="87" t="s">
        <v>677</v>
      </c>
      <c r="G89" s="87" t="s">
        <v>678</v>
      </c>
      <c r="H89" s="87" t="s">
        <v>679</v>
      </c>
      <c r="I89" s="87" t="s">
        <v>680</v>
      </c>
      <c r="J89" s="87" t="s">
        <v>681</v>
      </c>
      <c r="K89" s="87" t="s">
        <v>682</v>
      </c>
      <c r="L89" s="87" t="s">
        <v>683</v>
      </c>
      <c r="M89" s="56" t="s">
        <v>585</v>
      </c>
      <c r="N89" s="56" t="s">
        <v>7</v>
      </c>
      <c r="O89" s="56" t="s">
        <v>586</v>
      </c>
    </row>
    <row r="90" spans="1:15" ht="15.75" thickBot="1">
      <c r="A90" s="18" t="s">
        <v>303</v>
      </c>
      <c r="B90" s="88">
        <v>56</v>
      </c>
      <c r="C90" s="89">
        <v>56</v>
      </c>
      <c r="D90" s="88">
        <v>56</v>
      </c>
      <c r="E90" s="89">
        <v>56</v>
      </c>
      <c r="F90" s="88">
        <v>56</v>
      </c>
      <c r="G90" s="89">
        <v>56</v>
      </c>
      <c r="H90" s="88">
        <v>56</v>
      </c>
      <c r="I90" s="89">
        <v>56</v>
      </c>
      <c r="J90" s="88">
        <v>56</v>
      </c>
      <c r="K90" s="89">
        <v>56</v>
      </c>
      <c r="L90" s="76" t="s">
        <v>14</v>
      </c>
      <c r="M90" s="22" t="s">
        <v>40</v>
      </c>
      <c r="N90" s="76" t="s">
        <v>20</v>
      </c>
      <c r="O90" s="22" t="s">
        <v>603</v>
      </c>
    </row>
    <row r="91" spans="1:15" ht="15.75" thickBot="1">
      <c r="A91" s="17" t="s">
        <v>48</v>
      </c>
      <c r="B91" s="90">
        <v>80.400000000000006</v>
      </c>
      <c r="C91" s="91">
        <v>79.8</v>
      </c>
      <c r="D91" s="90">
        <v>79.2</v>
      </c>
      <c r="E91" s="91">
        <v>78.7</v>
      </c>
      <c r="F91" s="90">
        <v>78.099999999999994</v>
      </c>
      <c r="G91" s="91">
        <v>77.599999999999994</v>
      </c>
      <c r="H91" s="90">
        <v>77</v>
      </c>
      <c r="I91" s="91">
        <v>76.5</v>
      </c>
      <c r="J91" s="90">
        <v>76</v>
      </c>
      <c r="K91" s="91">
        <v>75.400000000000006</v>
      </c>
      <c r="L91" s="75" t="s">
        <v>14</v>
      </c>
      <c r="M91" s="21" t="s">
        <v>40</v>
      </c>
      <c r="N91" s="75" t="s">
        <v>20</v>
      </c>
      <c r="O91" s="21" t="s">
        <v>603</v>
      </c>
    </row>
    <row r="92" spans="1:15" ht="15.75" thickBot="1">
      <c r="A92" s="17" t="s">
        <v>101</v>
      </c>
      <c r="B92" s="90">
        <v>75</v>
      </c>
      <c r="C92" s="91">
        <v>75</v>
      </c>
      <c r="D92" s="90">
        <v>75</v>
      </c>
      <c r="E92" s="91">
        <v>75</v>
      </c>
      <c r="F92" s="90">
        <v>75</v>
      </c>
      <c r="G92" s="91">
        <v>75</v>
      </c>
      <c r="H92" s="90">
        <v>75</v>
      </c>
      <c r="I92" s="91">
        <v>75</v>
      </c>
      <c r="J92" s="90">
        <v>75</v>
      </c>
      <c r="K92" s="91">
        <v>75</v>
      </c>
      <c r="L92" s="75" t="s">
        <v>14</v>
      </c>
      <c r="M92" s="21" t="s">
        <v>40</v>
      </c>
      <c r="N92" s="75" t="s">
        <v>20</v>
      </c>
      <c r="O92" s="21" t="s">
        <v>603</v>
      </c>
    </row>
    <row r="93" spans="1:15" ht="15.75" thickBot="1">
      <c r="A93" s="17" t="s">
        <v>103</v>
      </c>
      <c r="B93" s="90">
        <v>42.5</v>
      </c>
      <c r="C93" s="91">
        <v>42.5</v>
      </c>
      <c r="D93" s="90">
        <v>42.5</v>
      </c>
      <c r="E93" s="91">
        <v>42.5</v>
      </c>
      <c r="F93" s="90">
        <v>42.5</v>
      </c>
      <c r="G93" s="91">
        <v>42.5</v>
      </c>
      <c r="H93" s="90">
        <v>42.5</v>
      </c>
      <c r="I93" s="91">
        <v>42.5</v>
      </c>
      <c r="J93" s="90">
        <v>42.5</v>
      </c>
      <c r="K93" s="91">
        <v>42.5</v>
      </c>
      <c r="L93" s="75" t="s">
        <v>14</v>
      </c>
      <c r="M93" s="21" t="s">
        <v>40</v>
      </c>
      <c r="N93" s="75" t="s">
        <v>20</v>
      </c>
      <c r="O93" s="21" t="s">
        <v>603</v>
      </c>
    </row>
    <row r="94" spans="1:15" ht="15.75" thickBot="1">
      <c r="A94" s="17" t="s">
        <v>105</v>
      </c>
      <c r="B94" s="90">
        <v>350</v>
      </c>
      <c r="C94" s="91">
        <v>350</v>
      </c>
      <c r="D94" s="90">
        <v>350</v>
      </c>
      <c r="E94" s="91">
        <v>350</v>
      </c>
      <c r="F94" s="90">
        <v>350</v>
      </c>
      <c r="G94" s="91">
        <v>350</v>
      </c>
      <c r="H94" s="90">
        <v>350</v>
      </c>
      <c r="I94" s="91">
        <v>350</v>
      </c>
      <c r="J94" s="90">
        <v>350</v>
      </c>
      <c r="K94" s="91">
        <v>350</v>
      </c>
      <c r="L94" s="75" t="s">
        <v>14</v>
      </c>
      <c r="M94" s="21" t="s">
        <v>13</v>
      </c>
      <c r="N94" s="75" t="s">
        <v>20</v>
      </c>
      <c r="O94" s="21" t="s">
        <v>603</v>
      </c>
    </row>
    <row r="95" spans="1:15" ht="15.75" thickBot="1">
      <c r="A95" s="17" t="s">
        <v>107</v>
      </c>
      <c r="B95" s="90">
        <v>108.5</v>
      </c>
      <c r="C95" s="91">
        <v>108.5</v>
      </c>
      <c r="D95" s="90">
        <v>108.5</v>
      </c>
      <c r="E95" s="91">
        <v>108.5</v>
      </c>
      <c r="F95" s="90">
        <v>108.5</v>
      </c>
      <c r="G95" s="91">
        <v>108.5</v>
      </c>
      <c r="H95" s="90">
        <v>108.5</v>
      </c>
      <c r="I95" s="91">
        <v>108.5</v>
      </c>
      <c r="J95" s="90">
        <v>108.5</v>
      </c>
      <c r="K95" s="91">
        <v>108.5</v>
      </c>
      <c r="L95" s="75" t="s">
        <v>14</v>
      </c>
      <c r="M95" s="21" t="s">
        <v>40</v>
      </c>
      <c r="N95" s="75" t="s">
        <v>20</v>
      </c>
      <c r="O95" s="21" t="s">
        <v>603</v>
      </c>
    </row>
    <row r="96" spans="1:15" ht="15.75" thickBot="1">
      <c r="A96" s="17" t="s">
        <v>108</v>
      </c>
      <c r="B96" s="90">
        <v>150</v>
      </c>
      <c r="C96" s="91">
        <v>150</v>
      </c>
      <c r="D96" s="90">
        <v>150</v>
      </c>
      <c r="E96" s="91">
        <v>150</v>
      </c>
      <c r="F96" s="90">
        <v>150</v>
      </c>
      <c r="G96" s="91">
        <v>150</v>
      </c>
      <c r="H96" s="90">
        <v>150</v>
      </c>
      <c r="I96" s="91">
        <v>150</v>
      </c>
      <c r="J96" s="90">
        <v>150</v>
      </c>
      <c r="K96" s="91">
        <v>150</v>
      </c>
      <c r="L96" s="75" t="s">
        <v>14</v>
      </c>
      <c r="M96" s="21" t="s">
        <v>40</v>
      </c>
      <c r="N96" s="75" t="s">
        <v>20</v>
      </c>
      <c r="O96" s="21" t="s">
        <v>603</v>
      </c>
    </row>
    <row r="97" spans="1:15" ht="23.25" thickBot="1">
      <c r="A97" s="17" t="s">
        <v>741</v>
      </c>
      <c r="B97" s="90">
        <v>72</v>
      </c>
      <c r="C97" s="91">
        <v>72</v>
      </c>
      <c r="D97" s="90">
        <v>72</v>
      </c>
      <c r="E97" s="91">
        <v>72</v>
      </c>
      <c r="F97" s="90">
        <v>72</v>
      </c>
      <c r="G97" s="91">
        <v>72</v>
      </c>
      <c r="H97" s="90">
        <v>72</v>
      </c>
      <c r="I97" s="91">
        <v>72</v>
      </c>
      <c r="J97" s="90">
        <v>72</v>
      </c>
      <c r="K97" s="91">
        <v>72</v>
      </c>
      <c r="L97" s="75" t="s">
        <v>14</v>
      </c>
      <c r="M97" s="21" t="s">
        <v>40</v>
      </c>
      <c r="N97" s="75" t="s">
        <v>20</v>
      </c>
      <c r="O97" s="21" t="s">
        <v>603</v>
      </c>
    </row>
    <row r="98" spans="1:15" ht="15.75" thickBot="1">
      <c r="A98" s="17" t="s">
        <v>352</v>
      </c>
      <c r="B98" s="90">
        <v>57.5</v>
      </c>
      <c r="C98" s="91">
        <v>57.5</v>
      </c>
      <c r="D98" s="90">
        <v>57.5</v>
      </c>
      <c r="E98" s="91">
        <v>57.5</v>
      </c>
      <c r="F98" s="90">
        <v>57.5</v>
      </c>
      <c r="G98" s="91">
        <v>57.5</v>
      </c>
      <c r="H98" s="90">
        <v>57.5</v>
      </c>
      <c r="I98" s="91">
        <v>57.5</v>
      </c>
      <c r="J98" s="90">
        <v>57.5</v>
      </c>
      <c r="K98" s="91">
        <v>57.5</v>
      </c>
      <c r="L98" s="75" t="s">
        <v>14</v>
      </c>
      <c r="M98" s="21" t="s">
        <v>40</v>
      </c>
      <c r="N98" s="75" t="s">
        <v>20</v>
      </c>
      <c r="O98" s="21" t="s">
        <v>603</v>
      </c>
    </row>
    <row r="99" spans="1:15" ht="15.75" thickBot="1">
      <c r="A99" s="17" t="s">
        <v>110</v>
      </c>
      <c r="B99" s="90">
        <v>97.9</v>
      </c>
      <c r="C99" s="91">
        <v>97.3</v>
      </c>
      <c r="D99" s="90">
        <v>96.7</v>
      </c>
      <c r="E99" s="91">
        <v>96.1</v>
      </c>
      <c r="F99" s="90">
        <v>95.5</v>
      </c>
      <c r="G99" s="91">
        <v>95</v>
      </c>
      <c r="H99" s="90">
        <v>94.4</v>
      </c>
      <c r="I99" s="91">
        <v>93.8</v>
      </c>
      <c r="J99" s="90">
        <v>93.2</v>
      </c>
      <c r="K99" s="91">
        <v>92.6</v>
      </c>
      <c r="L99" s="75" t="s">
        <v>14</v>
      </c>
      <c r="M99" s="21" t="s">
        <v>40</v>
      </c>
      <c r="N99" s="75" t="s">
        <v>20</v>
      </c>
      <c r="O99" s="21" t="s">
        <v>603</v>
      </c>
    </row>
    <row r="100" spans="1:15" ht="15.75" thickBot="1">
      <c r="A100" s="17" t="s">
        <v>112</v>
      </c>
      <c r="B100" s="90">
        <v>50</v>
      </c>
      <c r="C100" s="91">
        <v>50</v>
      </c>
      <c r="D100" s="90">
        <v>50</v>
      </c>
      <c r="E100" s="91">
        <v>50</v>
      </c>
      <c r="F100" s="90">
        <v>50</v>
      </c>
      <c r="G100" s="91">
        <v>50</v>
      </c>
      <c r="H100" s="90">
        <v>50</v>
      </c>
      <c r="I100" s="91">
        <v>50</v>
      </c>
      <c r="J100" s="90">
        <v>50</v>
      </c>
      <c r="K100" s="91">
        <v>50</v>
      </c>
      <c r="L100" s="75" t="s">
        <v>14</v>
      </c>
      <c r="M100" s="21" t="s">
        <v>40</v>
      </c>
      <c r="N100" s="75" t="s">
        <v>20</v>
      </c>
      <c r="O100" s="21" t="s">
        <v>603</v>
      </c>
    </row>
    <row r="101" spans="1:15" ht="15.75" thickBot="1">
      <c r="A101" s="17" t="s">
        <v>113</v>
      </c>
      <c r="B101" s="90">
        <v>15</v>
      </c>
      <c r="C101" s="91">
        <v>15</v>
      </c>
      <c r="D101" s="90">
        <v>15</v>
      </c>
      <c r="E101" s="91">
        <v>15</v>
      </c>
      <c r="F101" s="90">
        <v>15</v>
      </c>
      <c r="G101" s="91">
        <v>15</v>
      </c>
      <c r="H101" s="90">
        <v>15</v>
      </c>
      <c r="I101" s="91">
        <v>15</v>
      </c>
      <c r="J101" s="90">
        <v>15</v>
      </c>
      <c r="K101" s="91">
        <v>15</v>
      </c>
      <c r="L101" s="75" t="s">
        <v>14</v>
      </c>
      <c r="M101" s="21" t="s">
        <v>40</v>
      </c>
      <c r="N101" s="75" t="s">
        <v>20</v>
      </c>
      <c r="O101" s="21" t="s">
        <v>603</v>
      </c>
    </row>
    <row r="102" spans="1:15" ht="15.75" thickBot="1">
      <c r="A102" s="17" t="s">
        <v>114</v>
      </c>
      <c r="B102" s="90">
        <v>2</v>
      </c>
      <c r="C102" s="91">
        <v>2</v>
      </c>
      <c r="D102" s="90">
        <v>2</v>
      </c>
      <c r="E102" s="91">
        <v>2</v>
      </c>
      <c r="F102" s="90">
        <v>2</v>
      </c>
      <c r="G102" s="91">
        <v>2</v>
      </c>
      <c r="H102" s="90">
        <v>2</v>
      </c>
      <c r="I102" s="91">
        <v>2</v>
      </c>
      <c r="J102" s="90">
        <v>2</v>
      </c>
      <c r="K102" s="91">
        <v>2</v>
      </c>
      <c r="L102" s="75" t="s">
        <v>14</v>
      </c>
      <c r="M102" s="21" t="s">
        <v>771</v>
      </c>
      <c r="N102" s="75" t="s">
        <v>20</v>
      </c>
      <c r="O102" s="21" t="s">
        <v>603</v>
      </c>
    </row>
    <row r="103" spans="1:15" ht="15.75" thickBot="1">
      <c r="A103" s="17" t="s">
        <v>115</v>
      </c>
      <c r="B103" s="90">
        <v>43.2</v>
      </c>
      <c r="C103" s="91">
        <v>43.2</v>
      </c>
      <c r="D103" s="90">
        <v>43.2</v>
      </c>
      <c r="E103" s="91">
        <v>43.2</v>
      </c>
      <c r="F103" s="90">
        <v>43.2</v>
      </c>
      <c r="G103" s="91">
        <v>43.2</v>
      </c>
      <c r="H103" s="90">
        <v>43.2</v>
      </c>
      <c r="I103" s="91">
        <v>43.2</v>
      </c>
      <c r="J103" s="90">
        <v>43.2</v>
      </c>
      <c r="K103" s="91">
        <v>43.2</v>
      </c>
      <c r="L103" s="75" t="s">
        <v>14</v>
      </c>
      <c r="M103" s="21" t="s">
        <v>13</v>
      </c>
      <c r="N103" s="75" t="s">
        <v>20</v>
      </c>
      <c r="O103" s="21" t="s">
        <v>603</v>
      </c>
    </row>
    <row r="104" spans="1:15" ht="15.75" thickBot="1">
      <c r="A104" s="17" t="s">
        <v>65</v>
      </c>
      <c r="B104" s="90">
        <v>48.5</v>
      </c>
      <c r="C104" s="91">
        <v>48.5</v>
      </c>
      <c r="D104" s="90">
        <v>48.5</v>
      </c>
      <c r="E104" s="91">
        <v>48.5</v>
      </c>
      <c r="F104" s="90">
        <v>48.5</v>
      </c>
      <c r="G104" s="91">
        <v>48.5</v>
      </c>
      <c r="H104" s="90">
        <v>48.5</v>
      </c>
      <c r="I104" s="91">
        <v>48.5</v>
      </c>
      <c r="J104" s="90">
        <v>48.5</v>
      </c>
      <c r="K104" s="91">
        <v>48.5</v>
      </c>
      <c r="L104" s="75" t="s">
        <v>14</v>
      </c>
      <c r="M104" s="21" t="s">
        <v>40</v>
      </c>
      <c r="N104" s="75" t="s">
        <v>20</v>
      </c>
      <c r="O104" s="21" t="s">
        <v>603</v>
      </c>
    </row>
    <row r="105" spans="1:15" ht="15.75" thickBot="1">
      <c r="A105" s="17" t="s">
        <v>117</v>
      </c>
      <c r="B105" s="90">
        <v>80.400000000000006</v>
      </c>
      <c r="C105" s="91">
        <v>79.8</v>
      </c>
      <c r="D105" s="90">
        <v>79.2</v>
      </c>
      <c r="E105" s="91">
        <v>78.7</v>
      </c>
      <c r="F105" s="90">
        <v>78.099999999999994</v>
      </c>
      <c r="G105" s="91">
        <v>77.599999999999994</v>
      </c>
      <c r="H105" s="90">
        <v>77</v>
      </c>
      <c r="I105" s="91">
        <v>76.5</v>
      </c>
      <c r="J105" s="90">
        <v>76</v>
      </c>
      <c r="K105" s="91">
        <v>75.400000000000006</v>
      </c>
      <c r="L105" s="75" t="s">
        <v>14</v>
      </c>
      <c r="M105" s="21" t="s">
        <v>40</v>
      </c>
      <c r="N105" s="75" t="s">
        <v>20</v>
      </c>
      <c r="O105" s="21" t="s">
        <v>603</v>
      </c>
    </row>
    <row r="106" spans="1:15" ht="15.75" thickBot="1">
      <c r="A106" s="17" t="s">
        <v>119</v>
      </c>
      <c r="B106" s="90">
        <v>180.45</v>
      </c>
      <c r="C106" s="91">
        <v>180.45</v>
      </c>
      <c r="D106" s="90">
        <v>180.45</v>
      </c>
      <c r="E106" s="91">
        <v>180.45</v>
      </c>
      <c r="F106" s="90">
        <v>180.45</v>
      </c>
      <c r="G106" s="91">
        <v>180.45</v>
      </c>
      <c r="H106" s="90">
        <v>180.45</v>
      </c>
      <c r="I106" s="91">
        <v>180.45</v>
      </c>
      <c r="J106" s="90">
        <v>180.45</v>
      </c>
      <c r="K106" s="91">
        <v>180.45</v>
      </c>
      <c r="L106" s="75" t="s">
        <v>14</v>
      </c>
      <c r="M106" s="21" t="s">
        <v>13</v>
      </c>
      <c r="N106" s="75" t="s">
        <v>20</v>
      </c>
      <c r="O106" s="21" t="s">
        <v>603</v>
      </c>
    </row>
    <row r="107" spans="1:15" ht="15.75" thickBot="1">
      <c r="A107" s="17" t="s">
        <v>121</v>
      </c>
      <c r="B107" s="90">
        <v>55</v>
      </c>
      <c r="C107" s="91">
        <v>55</v>
      </c>
      <c r="D107" s="90">
        <v>55</v>
      </c>
      <c r="E107" s="91">
        <v>55</v>
      </c>
      <c r="F107" s="90">
        <v>55</v>
      </c>
      <c r="G107" s="91">
        <v>55</v>
      </c>
      <c r="H107" s="90">
        <v>55</v>
      </c>
      <c r="I107" s="91">
        <v>55</v>
      </c>
      <c r="J107" s="90">
        <v>55</v>
      </c>
      <c r="K107" s="91">
        <v>55</v>
      </c>
      <c r="L107" s="75" t="s">
        <v>14</v>
      </c>
      <c r="M107" s="21" t="s">
        <v>40</v>
      </c>
      <c r="N107" s="75" t="s">
        <v>20</v>
      </c>
      <c r="O107" s="21" t="s">
        <v>603</v>
      </c>
    </row>
    <row r="108" spans="1:15" ht="15.75" thickBot="1">
      <c r="A108" s="17" t="s">
        <v>123</v>
      </c>
      <c r="B108" s="90">
        <v>25</v>
      </c>
      <c r="C108" s="91">
        <v>25</v>
      </c>
      <c r="D108" s="90">
        <v>25</v>
      </c>
      <c r="E108" s="91">
        <v>25</v>
      </c>
      <c r="F108" s="90">
        <v>25</v>
      </c>
      <c r="G108" s="91">
        <v>25</v>
      </c>
      <c r="H108" s="90">
        <v>25</v>
      </c>
      <c r="I108" s="91">
        <v>25</v>
      </c>
      <c r="J108" s="90">
        <v>25</v>
      </c>
      <c r="K108" s="91">
        <v>25</v>
      </c>
      <c r="L108" s="75" t="s">
        <v>14</v>
      </c>
      <c r="M108" s="21" t="s">
        <v>40</v>
      </c>
      <c r="N108" s="75" t="s">
        <v>20</v>
      </c>
      <c r="O108" s="21" t="s">
        <v>603</v>
      </c>
    </row>
    <row r="109" spans="1:15" ht="15.75" thickBot="1">
      <c r="A109" s="17" t="s">
        <v>125</v>
      </c>
      <c r="B109" s="90">
        <v>116</v>
      </c>
      <c r="C109" s="91">
        <v>116</v>
      </c>
      <c r="D109" s="90">
        <v>116</v>
      </c>
      <c r="E109" s="91">
        <v>116</v>
      </c>
      <c r="F109" s="90">
        <v>116</v>
      </c>
      <c r="G109" s="91">
        <v>116</v>
      </c>
      <c r="H109" s="90">
        <v>116</v>
      </c>
      <c r="I109" s="91">
        <v>116</v>
      </c>
      <c r="J109" s="90">
        <v>116</v>
      </c>
      <c r="K109" s="91">
        <v>116</v>
      </c>
      <c r="L109" s="75" t="s">
        <v>14</v>
      </c>
      <c r="M109" s="21" t="s">
        <v>40</v>
      </c>
      <c r="N109" s="75" t="s">
        <v>20</v>
      </c>
      <c r="O109" s="21" t="s">
        <v>603</v>
      </c>
    </row>
    <row r="110" spans="1:15" ht="23.25" thickBot="1">
      <c r="A110" s="17" t="s">
        <v>742</v>
      </c>
      <c r="B110" s="90">
        <v>65</v>
      </c>
      <c r="C110" s="91">
        <v>65</v>
      </c>
      <c r="D110" s="90">
        <v>65</v>
      </c>
      <c r="E110" s="91">
        <v>65</v>
      </c>
      <c r="F110" s="90">
        <v>65</v>
      </c>
      <c r="G110" s="91">
        <v>65</v>
      </c>
      <c r="H110" s="90">
        <v>65</v>
      </c>
      <c r="I110" s="91">
        <v>65</v>
      </c>
      <c r="J110" s="90">
        <v>65</v>
      </c>
      <c r="K110" s="91">
        <v>65</v>
      </c>
      <c r="L110" s="75" t="s">
        <v>14</v>
      </c>
      <c r="M110" s="21" t="s">
        <v>40</v>
      </c>
      <c r="N110" s="75" t="s">
        <v>20</v>
      </c>
      <c r="O110" s="21" t="s">
        <v>603</v>
      </c>
    </row>
    <row r="111" spans="1:15" ht="15.75" thickBot="1">
      <c r="A111" s="17" t="s">
        <v>196</v>
      </c>
      <c r="B111" s="90">
        <v>124</v>
      </c>
      <c r="C111" s="91">
        <v>124</v>
      </c>
      <c r="D111" s="90">
        <v>124</v>
      </c>
      <c r="E111" s="91">
        <v>124</v>
      </c>
      <c r="F111" s="90">
        <v>124</v>
      </c>
      <c r="G111" s="91">
        <v>124</v>
      </c>
      <c r="H111" s="90">
        <v>124</v>
      </c>
      <c r="I111" s="91">
        <v>124</v>
      </c>
      <c r="J111" s="90">
        <v>124</v>
      </c>
      <c r="K111" s="91">
        <v>124</v>
      </c>
      <c r="L111" s="75" t="s">
        <v>14</v>
      </c>
      <c r="M111" s="21" t="s">
        <v>40</v>
      </c>
      <c r="N111" s="75" t="s">
        <v>20</v>
      </c>
      <c r="O111" s="21" t="s">
        <v>603</v>
      </c>
    </row>
    <row r="112" spans="1:15" ht="15.75" thickBot="1">
      <c r="A112" s="17" t="s">
        <v>423</v>
      </c>
      <c r="B112" s="90">
        <v>75</v>
      </c>
      <c r="C112" s="91">
        <v>75</v>
      </c>
      <c r="D112" s="90">
        <v>75</v>
      </c>
      <c r="E112" s="91">
        <v>75</v>
      </c>
      <c r="F112" s="90">
        <v>75</v>
      </c>
      <c r="G112" s="91">
        <v>75</v>
      </c>
      <c r="H112" s="90">
        <v>75</v>
      </c>
      <c r="I112" s="91">
        <v>75</v>
      </c>
      <c r="J112" s="90">
        <v>75</v>
      </c>
      <c r="K112" s="91">
        <v>75</v>
      </c>
      <c r="L112" s="75" t="s">
        <v>14</v>
      </c>
      <c r="M112" s="21" t="s">
        <v>40</v>
      </c>
      <c r="N112" s="75" t="s">
        <v>20</v>
      </c>
      <c r="O112" s="21" t="s">
        <v>603</v>
      </c>
    </row>
    <row r="113" spans="1:15" ht="15.75" thickBot="1">
      <c r="A113" s="17" t="s">
        <v>427</v>
      </c>
      <c r="B113" s="90">
        <v>52.5</v>
      </c>
      <c r="C113" s="91">
        <v>52.5</v>
      </c>
      <c r="D113" s="90">
        <v>52.5</v>
      </c>
      <c r="E113" s="91">
        <v>52.5</v>
      </c>
      <c r="F113" s="90">
        <v>52.5</v>
      </c>
      <c r="G113" s="91">
        <v>52.5</v>
      </c>
      <c r="H113" s="90">
        <v>52.5</v>
      </c>
      <c r="I113" s="91">
        <v>52.5</v>
      </c>
      <c r="J113" s="90">
        <v>52.5</v>
      </c>
      <c r="K113" s="91">
        <v>52.5</v>
      </c>
      <c r="L113" s="75" t="s">
        <v>14</v>
      </c>
      <c r="M113" s="21" t="s">
        <v>40</v>
      </c>
      <c r="N113" s="75" t="s">
        <v>20</v>
      </c>
      <c r="O113" s="21" t="s">
        <v>603</v>
      </c>
    </row>
    <row r="114" spans="1:15" ht="15.75" thickBot="1">
      <c r="A114" s="17" t="s">
        <v>128</v>
      </c>
      <c r="B114" s="90">
        <v>57.5</v>
      </c>
      <c r="C114" s="91">
        <v>57.5</v>
      </c>
      <c r="D114" s="90">
        <v>57.5</v>
      </c>
      <c r="E114" s="91">
        <v>57.5</v>
      </c>
      <c r="F114" s="90">
        <v>57.5</v>
      </c>
      <c r="G114" s="91">
        <v>57.5</v>
      </c>
      <c r="H114" s="90">
        <v>57.5</v>
      </c>
      <c r="I114" s="91">
        <v>57.5</v>
      </c>
      <c r="J114" s="90">
        <v>57.5</v>
      </c>
      <c r="K114" s="91">
        <v>57.5</v>
      </c>
      <c r="L114" s="75" t="s">
        <v>14</v>
      </c>
      <c r="M114" s="21" t="s">
        <v>40</v>
      </c>
      <c r="N114" s="75" t="s">
        <v>20</v>
      </c>
      <c r="O114" s="21" t="s">
        <v>603</v>
      </c>
    </row>
    <row r="115" spans="1:15" ht="15.75" thickBot="1">
      <c r="A115" s="17" t="s">
        <v>449</v>
      </c>
      <c r="B115" s="90">
        <v>0</v>
      </c>
      <c r="C115" s="91">
        <v>102.5</v>
      </c>
      <c r="D115" s="90">
        <v>102.5</v>
      </c>
      <c r="E115" s="91">
        <v>102.5</v>
      </c>
      <c r="F115" s="90">
        <v>102.5</v>
      </c>
      <c r="G115" s="91">
        <v>102.5</v>
      </c>
      <c r="H115" s="90">
        <v>102.5</v>
      </c>
      <c r="I115" s="91">
        <v>102.5</v>
      </c>
      <c r="J115" s="90">
        <v>102.5</v>
      </c>
      <c r="K115" s="91">
        <v>102.5</v>
      </c>
      <c r="L115" s="75" t="s">
        <v>14</v>
      </c>
      <c r="M115" s="21" t="s">
        <v>40</v>
      </c>
      <c r="N115" s="75" t="s">
        <v>20</v>
      </c>
      <c r="O115" s="21" t="s">
        <v>603</v>
      </c>
    </row>
    <row r="116" spans="1:15" ht="15.75" thickBot="1">
      <c r="A116" s="84"/>
      <c r="B116" s="94"/>
      <c r="C116" s="94"/>
      <c r="D116" s="94"/>
      <c r="E116" s="94"/>
      <c r="F116" s="94"/>
      <c r="G116" s="94"/>
      <c r="H116" s="94"/>
      <c r="I116" s="94"/>
      <c r="J116" s="94"/>
      <c r="K116" s="94"/>
      <c r="L116" s="84"/>
      <c r="M116" s="84"/>
      <c r="N116" s="84"/>
      <c r="O116" s="84"/>
    </row>
    <row r="117" spans="1:15" ht="15.75" thickBot="1">
      <c r="A117" s="54" t="s">
        <v>599</v>
      </c>
      <c r="B117" s="95">
        <f>SUMIF(Query2[[FuelType]:[FuelType]],"Wind",Query2[2019])</f>
        <v>573.65</v>
      </c>
      <c r="C117" s="95">
        <f>SUMIF(Query2[[FuelType]:[FuelType]],"Wind",Query2[2020])</f>
        <v>573.65</v>
      </c>
      <c r="D117" s="95">
        <f>SUMIF(Query2[[FuelType]:[FuelType]],"Wind",Query2[2021])</f>
        <v>573.65</v>
      </c>
      <c r="E117" s="95">
        <f>SUMIF(Query2[[FuelType]:[FuelType]],"Wind",Query2[2022])</f>
        <v>573.65</v>
      </c>
      <c r="F117" s="95">
        <f>SUMIF(Query2[[FuelType]:[FuelType]],"Wind",Query2[2023])</f>
        <v>573.65</v>
      </c>
      <c r="G117" s="95">
        <f>SUMIF(Query2[[FuelType]:[FuelType]],"Wind",Query2[2024])</f>
        <v>573.65</v>
      </c>
      <c r="H117" s="95">
        <f>SUMIF(Query2[[FuelType]:[FuelType]],"Wind",Query2[2025])</f>
        <v>573.65</v>
      </c>
      <c r="I117" s="95">
        <f>SUMIF(Query2[[FuelType]:[FuelType]],"Wind",Query2[2026])</f>
        <v>573.65</v>
      </c>
      <c r="J117" s="95">
        <f>SUMIF(Query2[[FuelType]:[FuelType]],"Wind",Query2[2027])</f>
        <v>573.65</v>
      </c>
      <c r="K117" s="95">
        <f>SUMIF(Query2[[FuelType]:[FuelType]],"Wind",Query2[2028])</f>
        <v>573.65</v>
      </c>
      <c r="L117" s="55"/>
      <c r="M117"/>
      <c r="N117"/>
      <c r="O117"/>
    </row>
    <row r="118" spans="1:15" ht="15.75" thickBot="1">
      <c r="A118" s="54" t="s">
        <v>600</v>
      </c>
      <c r="B118" s="95">
        <f>SUMIF(Query2[[FuelType]:[FuelType]],"Solar",Query2[2019])</f>
        <v>1503.6999999999998</v>
      </c>
      <c r="C118" s="95">
        <f>SUMIF(Query2[[FuelType]:[FuelType]],"Solar",Query2[2020])</f>
        <v>1604.3999999999999</v>
      </c>
      <c r="D118" s="95">
        <f>SUMIF(Query2[[FuelType]:[FuelType]],"Solar",Query2[2021])</f>
        <v>1602.6000000000001</v>
      </c>
      <c r="E118" s="95">
        <f>SUMIF(Query2[[FuelType]:[FuelType]],"Solar",Query2[2022])</f>
        <v>1601</v>
      </c>
      <c r="F118" s="95">
        <f>SUMIF(Query2[[FuelType]:[FuelType]],"Solar",Query2[2023])</f>
        <v>1599.2</v>
      </c>
      <c r="G118" s="95">
        <f>SUMIF(Query2[[FuelType]:[FuelType]],"Solar",Query2[2024])</f>
        <v>1597.7</v>
      </c>
      <c r="H118" s="95">
        <f>SUMIF(Query2[[FuelType]:[FuelType]],"Solar",Query2[2025])</f>
        <v>1595.9</v>
      </c>
      <c r="I118" s="95">
        <f>SUMIF(Query2[[FuelType]:[FuelType]],"Solar",Query2[2026])</f>
        <v>1594.3</v>
      </c>
      <c r="J118" s="95">
        <f>SUMIF(Query2[[FuelType]:[FuelType]],"Solar",Query2[2027])</f>
        <v>1592.7</v>
      </c>
      <c r="K118" s="95">
        <f>SUMIF(Query2[[FuelType]:[FuelType]],"Solar",Query2[2028])</f>
        <v>1590.9</v>
      </c>
      <c r="L118" s="55"/>
      <c r="M118"/>
      <c r="N118"/>
      <c r="O118"/>
    </row>
    <row r="119" spans="1:15" ht="15.75" thickBot="1">
      <c r="A119" s="54" t="s">
        <v>601</v>
      </c>
      <c r="B119" s="95">
        <f>SUMIF(Query2[[FuelType]:[FuelType]],"Storage",Query2[2019])</f>
        <v>0</v>
      </c>
      <c r="C119" s="95">
        <f>SUMIF(Query2[[FuelType]:[FuelType]],"Storage",Query2[2020])</f>
        <v>0</v>
      </c>
      <c r="D119" s="95">
        <f>SUMIF(Query2[[FuelType]:[FuelType]],"Storage",Query2[2021])</f>
        <v>0</v>
      </c>
      <c r="E119" s="95">
        <f>SUMIF(Query2[[FuelType]:[FuelType]],"Storage",Query2[2022])</f>
        <v>0</v>
      </c>
      <c r="F119" s="95">
        <f>SUMIF(Query2[[FuelType]:[FuelType]],"Storage",Query2[2023])</f>
        <v>0</v>
      </c>
      <c r="G119" s="95">
        <f>SUMIF(Query2[[FuelType]:[FuelType]],"Storage",Query2[2024])</f>
        <v>0</v>
      </c>
      <c r="H119" s="95">
        <f>SUMIF(Query2[[FuelType]:[FuelType]],"Storage",Query2[2025])</f>
        <v>0</v>
      </c>
      <c r="I119" s="95">
        <f>SUMIF(Query2[[FuelType]:[FuelType]],"Storage",Query2[2026])</f>
        <v>0</v>
      </c>
      <c r="J119" s="95">
        <f>SUMIF(Query2[[FuelType]:[FuelType]],"Storage",Query2[2027])</f>
        <v>0</v>
      </c>
      <c r="K119" s="95">
        <f>SUMIF(Query2[[FuelType]:[FuelType]],"Storage",Query2[2028])</f>
        <v>0</v>
      </c>
      <c r="L119" s="55"/>
      <c r="M119"/>
      <c r="N119"/>
      <c r="O119"/>
    </row>
  </sheetData>
  <mergeCells count="4">
    <mergeCell ref="A54:L54"/>
    <mergeCell ref="A55:L55"/>
    <mergeCell ref="A56:L56"/>
    <mergeCell ref="A57:L57"/>
  </mergeCells>
  <pageMargins left="0.7" right="0.7" top="0.75" bottom="0.75" header="0.3" footer="0.3"/>
  <tableParts count="3">
    <tablePart r:id="rId1"/>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73"/>
  <sheetViews>
    <sheetView workbookViewId="0"/>
  </sheetViews>
  <sheetFormatPr defaultColWidth="9.140625" defaultRowHeight="15"/>
  <cols>
    <col min="1" max="1" width="35" style="79" bestFit="1" customWidth="1"/>
    <col min="2" max="2" width="53" style="79" bestFit="1" customWidth="1"/>
    <col min="3" max="3" width="25.5703125" style="79" bestFit="1" customWidth="1"/>
    <col min="4" max="4" width="26" style="79" bestFit="1" customWidth="1"/>
    <col min="5" max="5" width="22" style="79" bestFit="1" customWidth="1"/>
    <col min="6" max="6" width="16.85546875" style="79" bestFit="1" customWidth="1"/>
    <col min="7" max="7" width="11" style="79" hidden="1" customWidth="1"/>
    <col min="8" max="8" width="19.5703125" style="79" hidden="1" customWidth="1"/>
    <col min="9" max="9" width="26.85546875" style="84" hidden="1" customWidth="1"/>
    <col min="10" max="10" width="26.85546875" style="79" hidden="1" customWidth="1"/>
    <col min="11" max="16384" width="9.140625" style="79"/>
  </cols>
  <sheetData>
    <row r="1" spans="1:9" s="25" customFormat="1" ht="20.25" thickBot="1">
      <c r="A1" s="29" t="s">
        <v>130</v>
      </c>
      <c r="I1" s="84"/>
    </row>
    <row r="2" spans="1:9" s="25" customFormat="1" ht="15.75" thickBot="1">
      <c r="A2" s="56" t="s">
        <v>1</v>
      </c>
      <c r="B2" s="56" t="s">
        <v>2</v>
      </c>
      <c r="C2" s="56" t="s">
        <v>131</v>
      </c>
      <c r="D2" s="56" t="s">
        <v>3</v>
      </c>
      <c r="E2" s="56" t="s">
        <v>4</v>
      </c>
      <c r="F2" s="56" t="s">
        <v>6</v>
      </c>
      <c r="G2" s="1" t="s">
        <v>7</v>
      </c>
      <c r="H2" s="1" t="s">
        <v>241</v>
      </c>
      <c r="I2" s="1" t="s">
        <v>237</v>
      </c>
    </row>
    <row r="3" spans="1:9" s="25" customFormat="1" ht="15.75" thickBot="1">
      <c r="A3" s="57" t="s">
        <v>618</v>
      </c>
      <c r="B3" s="58" t="s">
        <v>220</v>
      </c>
      <c r="C3" s="99">
        <v>0.93100000000000005</v>
      </c>
      <c r="D3" s="58" t="s">
        <v>317</v>
      </c>
      <c r="E3" s="80" t="s">
        <v>40</v>
      </c>
      <c r="F3" s="58" t="s">
        <v>132</v>
      </c>
      <c r="G3" s="22" t="s">
        <v>20</v>
      </c>
      <c r="H3" s="16" t="s">
        <v>40</v>
      </c>
      <c r="I3" s="22" t="s">
        <v>232</v>
      </c>
    </row>
    <row r="4" spans="1:9" s="25" customFormat="1" ht="15.75" thickBot="1">
      <c r="A4" s="60" t="s">
        <v>137</v>
      </c>
      <c r="B4" s="61" t="s">
        <v>138</v>
      </c>
      <c r="C4" s="100">
        <v>20</v>
      </c>
      <c r="D4" s="61" t="s">
        <v>51</v>
      </c>
      <c r="E4" s="81" t="s">
        <v>40</v>
      </c>
      <c r="F4" s="58" t="s">
        <v>132</v>
      </c>
      <c r="G4" s="21" t="s">
        <v>20</v>
      </c>
      <c r="H4" s="15" t="s">
        <v>40</v>
      </c>
      <c r="I4" s="21" t="s">
        <v>232</v>
      </c>
    </row>
    <row r="5" spans="1:9" s="25" customFormat="1" ht="15.75" thickBot="1">
      <c r="A5" s="60" t="s">
        <v>139</v>
      </c>
      <c r="B5" s="61" t="s">
        <v>136</v>
      </c>
      <c r="C5" s="100">
        <v>0.78900000000000003</v>
      </c>
      <c r="D5" s="61" t="s">
        <v>616</v>
      </c>
      <c r="E5" s="81" t="s">
        <v>134</v>
      </c>
      <c r="F5" s="58" t="s">
        <v>132</v>
      </c>
      <c r="G5" s="21" t="s">
        <v>20</v>
      </c>
      <c r="H5" s="15" t="s">
        <v>229</v>
      </c>
      <c r="I5" s="21" t="s">
        <v>232</v>
      </c>
    </row>
    <row r="6" spans="1:9" s="25" customFormat="1" ht="15.75" thickBot="1">
      <c r="A6" s="60" t="s">
        <v>141</v>
      </c>
      <c r="B6" s="61" t="s">
        <v>142</v>
      </c>
      <c r="C6" s="100">
        <v>2.1800000000000002</v>
      </c>
      <c r="D6" s="61" t="s">
        <v>616</v>
      </c>
      <c r="E6" s="81" t="s">
        <v>134</v>
      </c>
      <c r="F6" s="58" t="s">
        <v>132</v>
      </c>
      <c r="G6" s="21" t="s">
        <v>20</v>
      </c>
      <c r="H6" s="15" t="s">
        <v>229</v>
      </c>
      <c r="I6" s="21" t="s">
        <v>232</v>
      </c>
    </row>
    <row r="7" spans="1:9" s="25" customFormat="1" ht="15.75" thickBot="1">
      <c r="A7" s="60" t="s">
        <v>143</v>
      </c>
      <c r="B7" s="61" t="s">
        <v>144</v>
      </c>
      <c r="C7" s="100">
        <v>3.6</v>
      </c>
      <c r="D7" s="61" t="s">
        <v>39</v>
      </c>
      <c r="E7" s="81" t="s">
        <v>40</v>
      </c>
      <c r="F7" s="58" t="s">
        <v>132</v>
      </c>
      <c r="G7" s="21" t="s">
        <v>20</v>
      </c>
      <c r="H7" s="15" t="s">
        <v>40</v>
      </c>
      <c r="I7" s="21" t="s">
        <v>232</v>
      </c>
    </row>
    <row r="8" spans="1:9" s="25" customFormat="1" ht="23.25" thickBot="1">
      <c r="A8" s="60" t="s">
        <v>743</v>
      </c>
      <c r="B8" s="61" t="s">
        <v>220</v>
      </c>
      <c r="C8" s="100">
        <v>0.90720000000000001</v>
      </c>
      <c r="D8" s="61" t="s">
        <v>317</v>
      </c>
      <c r="E8" s="81" t="s">
        <v>40</v>
      </c>
      <c r="F8" s="58" t="s">
        <v>132</v>
      </c>
      <c r="G8" s="21" t="s">
        <v>20</v>
      </c>
      <c r="H8" s="15" t="s">
        <v>40</v>
      </c>
      <c r="I8" s="21" t="s">
        <v>232</v>
      </c>
    </row>
    <row r="9" spans="1:9" s="25" customFormat="1" ht="15.75" thickBot="1">
      <c r="A9" s="60" t="s">
        <v>145</v>
      </c>
      <c r="B9" s="61" t="s">
        <v>146</v>
      </c>
      <c r="C9" s="100">
        <v>30</v>
      </c>
      <c r="D9" s="61" t="s">
        <v>8</v>
      </c>
      <c r="E9" s="81" t="s">
        <v>34</v>
      </c>
      <c r="F9" s="58" t="s">
        <v>132</v>
      </c>
      <c r="G9" s="21" t="s">
        <v>20</v>
      </c>
      <c r="H9" s="15" t="s">
        <v>228</v>
      </c>
      <c r="I9" s="21" t="s">
        <v>232</v>
      </c>
    </row>
    <row r="10" spans="1:9" s="25" customFormat="1" ht="15.75" thickBot="1">
      <c r="A10" s="60" t="s">
        <v>147</v>
      </c>
      <c r="B10" s="61" t="s">
        <v>148</v>
      </c>
      <c r="C10" s="100">
        <v>7.2</v>
      </c>
      <c r="D10" s="61" t="s">
        <v>39</v>
      </c>
      <c r="E10" s="81" t="s">
        <v>40</v>
      </c>
      <c r="F10" s="58" t="s">
        <v>132</v>
      </c>
      <c r="G10" s="21" t="s">
        <v>20</v>
      </c>
      <c r="H10" s="15" t="s">
        <v>40</v>
      </c>
      <c r="I10" s="21" t="s">
        <v>232</v>
      </c>
    </row>
    <row r="11" spans="1:9" s="25" customFormat="1" ht="15.75" thickBot="1">
      <c r="A11" s="60" t="s">
        <v>565</v>
      </c>
      <c r="B11" s="61" t="s">
        <v>566</v>
      </c>
      <c r="C11" s="100">
        <v>30</v>
      </c>
      <c r="D11" s="61" t="s">
        <v>28</v>
      </c>
      <c r="E11" s="81" t="s">
        <v>189</v>
      </c>
      <c r="F11" s="58" t="s">
        <v>132</v>
      </c>
      <c r="G11" s="21" t="s">
        <v>20</v>
      </c>
      <c r="H11" s="15" t="s">
        <v>229</v>
      </c>
      <c r="I11" s="21" t="s">
        <v>232</v>
      </c>
    </row>
    <row r="12" spans="1:9" s="25" customFormat="1" ht="15.75" thickBot="1">
      <c r="A12" s="60" t="s">
        <v>149</v>
      </c>
      <c r="B12" s="61" t="s">
        <v>150</v>
      </c>
      <c r="C12" s="100">
        <v>0.40100000000000002</v>
      </c>
      <c r="D12" s="61" t="s">
        <v>39</v>
      </c>
      <c r="E12" s="81" t="s">
        <v>40</v>
      </c>
      <c r="F12" s="58" t="s">
        <v>132</v>
      </c>
      <c r="G12" s="21" t="s">
        <v>20</v>
      </c>
      <c r="H12" s="15" t="s">
        <v>40</v>
      </c>
      <c r="I12" s="21" t="s">
        <v>232</v>
      </c>
    </row>
    <row r="13" spans="1:9" s="25" customFormat="1" ht="15.75" thickBot="1">
      <c r="A13" s="60" t="s">
        <v>151</v>
      </c>
      <c r="B13" s="61" t="s">
        <v>152</v>
      </c>
      <c r="C13" s="100">
        <v>45.01</v>
      </c>
      <c r="D13" s="61" t="s">
        <v>616</v>
      </c>
      <c r="E13" s="81" t="s">
        <v>135</v>
      </c>
      <c r="F13" s="58" t="s">
        <v>132</v>
      </c>
      <c r="G13" s="21" t="s">
        <v>20</v>
      </c>
      <c r="H13" s="15" t="s">
        <v>228</v>
      </c>
      <c r="I13" s="21" t="s">
        <v>232</v>
      </c>
    </row>
    <row r="14" spans="1:9" s="25" customFormat="1" ht="15.75" thickBot="1">
      <c r="A14" s="60" t="s">
        <v>154</v>
      </c>
      <c r="B14" s="61" t="s">
        <v>155</v>
      </c>
      <c r="C14" s="100">
        <v>21</v>
      </c>
      <c r="D14" s="61" t="s">
        <v>616</v>
      </c>
      <c r="E14" s="81" t="s">
        <v>135</v>
      </c>
      <c r="F14" s="58" t="s">
        <v>132</v>
      </c>
      <c r="G14" s="21" t="s">
        <v>20</v>
      </c>
      <c r="H14" s="15" t="s">
        <v>228</v>
      </c>
      <c r="I14" s="21" t="s">
        <v>232</v>
      </c>
    </row>
    <row r="15" spans="1:9" s="25" customFormat="1" ht="15.75" thickBot="1">
      <c r="A15" s="60" t="s">
        <v>156</v>
      </c>
      <c r="B15" s="61" t="s">
        <v>157</v>
      </c>
      <c r="C15" s="100">
        <v>12.5</v>
      </c>
      <c r="D15" s="61" t="s">
        <v>28</v>
      </c>
      <c r="E15" s="81" t="s">
        <v>140</v>
      </c>
      <c r="F15" s="58" t="s">
        <v>132</v>
      </c>
      <c r="G15" s="21" t="s">
        <v>20</v>
      </c>
      <c r="H15" s="15" t="s">
        <v>229</v>
      </c>
      <c r="I15" s="21" t="s">
        <v>232</v>
      </c>
    </row>
    <row r="16" spans="1:9" s="25" customFormat="1" ht="15.75" thickBot="1">
      <c r="A16" s="60" t="s">
        <v>158</v>
      </c>
      <c r="B16" s="61" t="s">
        <v>159</v>
      </c>
      <c r="C16" s="100">
        <v>50.3</v>
      </c>
      <c r="D16" s="61" t="s">
        <v>28</v>
      </c>
      <c r="E16" s="81" t="s">
        <v>140</v>
      </c>
      <c r="F16" s="58" t="s">
        <v>132</v>
      </c>
      <c r="G16" s="21" t="s">
        <v>20</v>
      </c>
      <c r="H16" s="15" t="s">
        <v>229</v>
      </c>
      <c r="I16" s="21" t="s">
        <v>232</v>
      </c>
    </row>
    <row r="17" spans="1:9" s="25" customFormat="1" ht="15.75" thickBot="1">
      <c r="A17" s="60" t="s">
        <v>160</v>
      </c>
      <c r="B17" s="61" t="s">
        <v>27</v>
      </c>
      <c r="C17" s="100">
        <v>25</v>
      </c>
      <c r="D17" s="61" t="s">
        <v>28</v>
      </c>
      <c r="E17" s="81" t="s">
        <v>140</v>
      </c>
      <c r="F17" s="58" t="s">
        <v>132</v>
      </c>
      <c r="G17" s="21" t="s">
        <v>20</v>
      </c>
      <c r="H17" s="15" t="s">
        <v>229</v>
      </c>
      <c r="I17" s="21" t="s">
        <v>232</v>
      </c>
    </row>
    <row r="18" spans="1:9" s="25" customFormat="1" ht="15.75" thickBot="1">
      <c r="A18" s="60" t="s">
        <v>161</v>
      </c>
      <c r="B18" s="61" t="s">
        <v>162</v>
      </c>
      <c r="C18" s="100">
        <v>9</v>
      </c>
      <c r="D18" s="61" t="s">
        <v>28</v>
      </c>
      <c r="E18" s="81" t="s">
        <v>140</v>
      </c>
      <c r="F18" s="58" t="s">
        <v>132</v>
      </c>
      <c r="G18" s="21" t="s">
        <v>20</v>
      </c>
      <c r="H18" s="15" t="s">
        <v>229</v>
      </c>
      <c r="I18" s="21" t="s">
        <v>232</v>
      </c>
    </row>
    <row r="19" spans="1:9" s="25" customFormat="1" ht="15.75" thickBot="1">
      <c r="A19" s="60" t="s">
        <v>163</v>
      </c>
      <c r="B19" s="61" t="s">
        <v>22</v>
      </c>
      <c r="C19" s="100">
        <v>7</v>
      </c>
      <c r="D19" s="61" t="s">
        <v>26</v>
      </c>
      <c r="E19" s="81" t="s">
        <v>25</v>
      </c>
      <c r="F19" s="58" t="s">
        <v>132</v>
      </c>
      <c r="G19" s="21" t="s">
        <v>20</v>
      </c>
      <c r="H19" s="15" t="s">
        <v>25</v>
      </c>
      <c r="I19" s="21" t="s">
        <v>232</v>
      </c>
    </row>
    <row r="20" spans="1:9" s="25" customFormat="1" ht="15.75" thickBot="1">
      <c r="A20" s="60" t="s">
        <v>379</v>
      </c>
      <c r="B20" s="61" t="s">
        <v>380</v>
      </c>
      <c r="C20" s="100">
        <v>4.3</v>
      </c>
      <c r="D20" s="61" t="s">
        <v>26</v>
      </c>
      <c r="E20" s="81" t="s">
        <v>25</v>
      </c>
      <c r="F20" s="58" t="s">
        <v>132</v>
      </c>
      <c r="G20" s="21" t="s">
        <v>20</v>
      </c>
      <c r="H20" s="15" t="s">
        <v>25</v>
      </c>
      <c r="I20" s="21" t="s">
        <v>232</v>
      </c>
    </row>
    <row r="21" spans="1:9" s="25" customFormat="1" ht="15.75" thickBot="1">
      <c r="A21" s="60" t="s">
        <v>645</v>
      </c>
      <c r="B21" s="61" t="s">
        <v>646</v>
      </c>
      <c r="C21" s="100">
        <v>12.5</v>
      </c>
      <c r="D21" s="61" t="s">
        <v>39</v>
      </c>
      <c r="E21" s="81" t="s">
        <v>40</v>
      </c>
      <c r="F21" s="58" t="s">
        <v>132</v>
      </c>
      <c r="G21" s="21" t="s">
        <v>20</v>
      </c>
      <c r="H21" s="15" t="s">
        <v>40</v>
      </c>
      <c r="I21" s="21" t="s">
        <v>232</v>
      </c>
    </row>
    <row r="22" spans="1:9" s="25" customFormat="1" ht="15.75" thickBot="1">
      <c r="A22" s="60" t="s">
        <v>164</v>
      </c>
      <c r="B22" s="61" t="s">
        <v>165</v>
      </c>
      <c r="C22" s="100">
        <v>0.33260000000000001</v>
      </c>
      <c r="D22" s="61" t="s">
        <v>39</v>
      </c>
      <c r="E22" s="81" t="s">
        <v>40</v>
      </c>
      <c r="F22" s="58" t="s">
        <v>132</v>
      </c>
      <c r="G22" s="21" t="s">
        <v>20</v>
      </c>
      <c r="H22" s="15" t="s">
        <v>40</v>
      </c>
      <c r="I22" s="21" t="s">
        <v>232</v>
      </c>
    </row>
    <row r="23" spans="1:9" s="25" customFormat="1" ht="15.75" thickBot="1">
      <c r="A23" s="60" t="s">
        <v>390</v>
      </c>
      <c r="B23" s="61" t="s">
        <v>644</v>
      </c>
      <c r="C23" s="100">
        <v>17</v>
      </c>
      <c r="D23" s="61" t="s">
        <v>39</v>
      </c>
      <c r="E23" s="81" t="s">
        <v>40</v>
      </c>
      <c r="F23" s="58" t="s">
        <v>132</v>
      </c>
      <c r="G23" s="21" t="s">
        <v>20</v>
      </c>
      <c r="H23" s="15" t="s">
        <v>40</v>
      </c>
      <c r="I23" s="21" t="s">
        <v>232</v>
      </c>
    </row>
    <row r="24" spans="1:9" s="25" customFormat="1" ht="15.75" thickBot="1">
      <c r="A24" s="60" t="s">
        <v>166</v>
      </c>
      <c r="B24" s="61" t="s">
        <v>167</v>
      </c>
      <c r="C24" s="100">
        <v>8</v>
      </c>
      <c r="D24" s="61" t="s">
        <v>28</v>
      </c>
      <c r="E24" s="81" t="s">
        <v>140</v>
      </c>
      <c r="F24" s="58" t="s">
        <v>132</v>
      </c>
      <c r="G24" s="21" t="s">
        <v>20</v>
      </c>
      <c r="H24" s="15" t="s">
        <v>229</v>
      </c>
      <c r="I24" s="21" t="s">
        <v>232</v>
      </c>
    </row>
    <row r="25" spans="1:9" s="25" customFormat="1" ht="15.75" thickBot="1">
      <c r="A25" s="60" t="s">
        <v>168</v>
      </c>
      <c r="B25" s="61" t="s">
        <v>169</v>
      </c>
      <c r="C25" s="100">
        <v>7.5</v>
      </c>
      <c r="D25" s="61" t="s">
        <v>47</v>
      </c>
      <c r="E25" s="81" t="s">
        <v>140</v>
      </c>
      <c r="F25" s="58" t="s">
        <v>132</v>
      </c>
      <c r="G25" s="21" t="s">
        <v>20</v>
      </c>
      <c r="H25" s="15" t="s">
        <v>229</v>
      </c>
      <c r="I25" s="21" t="s">
        <v>232</v>
      </c>
    </row>
    <row r="26" spans="1:9" s="25" customFormat="1" ht="15.75" thickBot="1">
      <c r="A26" s="60" t="s">
        <v>170</v>
      </c>
      <c r="B26" s="61" t="s">
        <v>171</v>
      </c>
      <c r="C26" s="100">
        <v>0.25919999999999999</v>
      </c>
      <c r="D26" s="61" t="s">
        <v>39</v>
      </c>
      <c r="E26" s="81" t="s">
        <v>40</v>
      </c>
      <c r="F26" s="58" t="s">
        <v>132</v>
      </c>
      <c r="G26" s="21" t="s">
        <v>20</v>
      </c>
      <c r="H26" s="15" t="s">
        <v>40</v>
      </c>
      <c r="I26" s="21" t="s">
        <v>232</v>
      </c>
    </row>
    <row r="27" spans="1:9" s="25" customFormat="1" ht="15.75" thickBot="1">
      <c r="A27" s="60" t="s">
        <v>172</v>
      </c>
      <c r="B27" s="61" t="s">
        <v>133</v>
      </c>
      <c r="C27" s="100">
        <v>0.48</v>
      </c>
      <c r="D27" s="61" t="s">
        <v>616</v>
      </c>
      <c r="E27" s="81" t="s">
        <v>134</v>
      </c>
      <c r="F27" s="58" t="s">
        <v>132</v>
      </c>
      <c r="G27" s="21" t="s">
        <v>20</v>
      </c>
      <c r="H27" s="15" t="s">
        <v>229</v>
      </c>
      <c r="I27" s="21" t="s">
        <v>232</v>
      </c>
    </row>
    <row r="28" spans="1:9" s="25" customFormat="1" ht="15.75" thickBot="1">
      <c r="A28" s="60" t="s">
        <v>173</v>
      </c>
      <c r="B28" s="61" t="s">
        <v>30</v>
      </c>
      <c r="C28" s="100">
        <v>12.56</v>
      </c>
      <c r="D28" s="61" t="s">
        <v>8</v>
      </c>
      <c r="E28" s="81" t="s">
        <v>135</v>
      </c>
      <c r="F28" s="58" t="s">
        <v>132</v>
      </c>
      <c r="G28" s="21" t="s">
        <v>20</v>
      </c>
      <c r="H28" s="15" t="s">
        <v>228</v>
      </c>
      <c r="I28" s="21" t="s">
        <v>232</v>
      </c>
    </row>
    <row r="29" spans="1:9" s="25" customFormat="1" ht="15.75" thickBot="1">
      <c r="A29" s="60" t="s">
        <v>174</v>
      </c>
      <c r="B29" s="61" t="s">
        <v>155</v>
      </c>
      <c r="C29" s="100">
        <v>63.8</v>
      </c>
      <c r="D29" s="61" t="s">
        <v>616</v>
      </c>
      <c r="E29" s="81" t="s">
        <v>135</v>
      </c>
      <c r="F29" s="58" t="s">
        <v>132</v>
      </c>
      <c r="G29" s="21" t="s">
        <v>20</v>
      </c>
      <c r="H29" s="15" t="s">
        <v>228</v>
      </c>
      <c r="I29" s="21" t="s">
        <v>232</v>
      </c>
    </row>
    <row r="30" spans="1:9" s="25" customFormat="1" ht="15.75" thickBot="1">
      <c r="A30" s="60" t="s">
        <v>567</v>
      </c>
      <c r="B30" s="61" t="s">
        <v>220</v>
      </c>
      <c r="C30" s="100">
        <v>0.21379999999999999</v>
      </c>
      <c r="D30" s="61" t="s">
        <v>317</v>
      </c>
      <c r="E30" s="81" t="s">
        <v>40</v>
      </c>
      <c r="F30" s="58" t="s">
        <v>132</v>
      </c>
      <c r="G30" s="21" t="s">
        <v>20</v>
      </c>
      <c r="H30" s="15" t="s">
        <v>40</v>
      </c>
      <c r="I30" s="21" t="s">
        <v>232</v>
      </c>
    </row>
    <row r="31" spans="1:9" s="25" customFormat="1" ht="15.75" thickBot="1">
      <c r="A31" s="60" t="s">
        <v>568</v>
      </c>
      <c r="B31" s="61" t="s">
        <v>220</v>
      </c>
      <c r="C31" s="100">
        <v>0.29949999999999999</v>
      </c>
      <c r="D31" s="61" t="s">
        <v>317</v>
      </c>
      <c r="E31" s="81" t="s">
        <v>40</v>
      </c>
      <c r="F31" s="58" t="s">
        <v>132</v>
      </c>
      <c r="G31" s="21" t="s">
        <v>20</v>
      </c>
      <c r="H31" s="15" t="s">
        <v>40</v>
      </c>
      <c r="I31" s="21" t="s">
        <v>232</v>
      </c>
    </row>
    <row r="32" spans="1:9" s="25" customFormat="1" ht="15.75" thickBot="1">
      <c r="A32" s="60" t="s">
        <v>175</v>
      </c>
      <c r="B32" s="61" t="s">
        <v>175</v>
      </c>
      <c r="C32" s="100">
        <v>21</v>
      </c>
      <c r="D32" s="61" t="s">
        <v>28</v>
      </c>
      <c r="E32" s="81" t="s">
        <v>140</v>
      </c>
      <c r="F32" s="58" t="s">
        <v>132</v>
      </c>
      <c r="G32" s="21" t="s">
        <v>20</v>
      </c>
      <c r="H32" s="15" t="s">
        <v>229</v>
      </c>
      <c r="I32" s="21" t="s">
        <v>232</v>
      </c>
    </row>
    <row r="33" spans="1:9" s="25" customFormat="1" ht="15.75" thickBot="1">
      <c r="A33" s="60" t="s">
        <v>176</v>
      </c>
      <c r="B33" s="61" t="s">
        <v>169</v>
      </c>
      <c r="C33" s="100">
        <v>9</v>
      </c>
      <c r="D33" s="61" t="s">
        <v>47</v>
      </c>
      <c r="E33" s="81" t="s">
        <v>140</v>
      </c>
      <c r="F33" s="58" t="s">
        <v>132</v>
      </c>
      <c r="G33" s="21" t="s">
        <v>20</v>
      </c>
      <c r="H33" s="15" t="s">
        <v>229</v>
      </c>
      <c r="I33" s="21" t="s">
        <v>232</v>
      </c>
    </row>
    <row r="34" spans="1:9" s="25" customFormat="1" ht="15.75" thickBot="1">
      <c r="A34" s="60" t="s">
        <v>569</v>
      </c>
      <c r="B34" s="61" t="s">
        <v>220</v>
      </c>
      <c r="C34" s="100">
        <v>4.96</v>
      </c>
      <c r="D34" s="61" t="s">
        <v>570</v>
      </c>
      <c r="E34" s="81" t="s">
        <v>40</v>
      </c>
      <c r="F34" s="58" t="s">
        <v>132</v>
      </c>
      <c r="G34" s="21" t="s">
        <v>20</v>
      </c>
      <c r="H34" s="15" t="s">
        <v>40</v>
      </c>
      <c r="I34" s="21" t="s">
        <v>232</v>
      </c>
    </row>
    <row r="35" spans="1:9" s="25" customFormat="1" ht="15.75" thickBot="1">
      <c r="A35" s="60" t="s">
        <v>177</v>
      </c>
      <c r="B35" s="61" t="s">
        <v>153</v>
      </c>
      <c r="C35" s="100">
        <v>21</v>
      </c>
      <c r="D35" s="61" t="s">
        <v>616</v>
      </c>
      <c r="E35" s="81" t="s">
        <v>135</v>
      </c>
      <c r="F35" s="58" t="s">
        <v>132</v>
      </c>
      <c r="G35" s="21" t="s">
        <v>20</v>
      </c>
      <c r="H35" s="15" t="s">
        <v>228</v>
      </c>
      <c r="I35" s="21" t="s">
        <v>232</v>
      </c>
    </row>
    <row r="36" spans="1:9" s="25" customFormat="1" ht="15.75" thickBot="1">
      <c r="A36" s="60" t="s">
        <v>178</v>
      </c>
      <c r="B36" s="61" t="s">
        <v>179</v>
      </c>
      <c r="C36" s="100">
        <v>15</v>
      </c>
      <c r="D36" s="61" t="s">
        <v>616</v>
      </c>
      <c r="E36" s="81" t="s">
        <v>135</v>
      </c>
      <c r="F36" s="58" t="s">
        <v>132</v>
      </c>
      <c r="G36" s="21" t="s">
        <v>20</v>
      </c>
      <c r="H36" s="15" t="s">
        <v>228</v>
      </c>
      <c r="I36" s="21" t="s">
        <v>232</v>
      </c>
    </row>
    <row r="37" spans="1:9" s="25" customFormat="1" ht="15.75" thickBot="1">
      <c r="A37" s="60" t="s">
        <v>180</v>
      </c>
      <c r="B37" s="61" t="s">
        <v>157</v>
      </c>
      <c r="C37" s="100">
        <v>67.8</v>
      </c>
      <c r="D37" s="61" t="s">
        <v>28</v>
      </c>
      <c r="E37" s="81" t="s">
        <v>140</v>
      </c>
      <c r="F37" s="58" t="s">
        <v>132</v>
      </c>
      <c r="G37" s="21" t="s">
        <v>20</v>
      </c>
      <c r="H37" s="15" t="s">
        <v>229</v>
      </c>
      <c r="I37" s="21" t="s">
        <v>232</v>
      </c>
    </row>
    <row r="38" spans="1:9" s="25" customFormat="1" ht="15.75" thickBot="1">
      <c r="A38" s="60" t="s">
        <v>181</v>
      </c>
      <c r="B38" s="61" t="s">
        <v>182</v>
      </c>
      <c r="C38" s="100">
        <v>14</v>
      </c>
      <c r="D38" s="61" t="s">
        <v>28</v>
      </c>
      <c r="E38" s="81" t="s">
        <v>140</v>
      </c>
      <c r="F38" s="58" t="s">
        <v>132</v>
      </c>
      <c r="G38" s="21" t="s">
        <v>20</v>
      </c>
      <c r="H38" s="15" t="s">
        <v>229</v>
      </c>
      <c r="I38" s="21" t="s">
        <v>232</v>
      </c>
    </row>
    <row r="39" spans="1:9" s="25" customFormat="1" ht="15.75" thickBot="1">
      <c r="A39" s="60" t="s">
        <v>183</v>
      </c>
      <c r="B39" s="61" t="s">
        <v>184</v>
      </c>
      <c r="C39" s="100">
        <v>17</v>
      </c>
      <c r="D39" s="61" t="s">
        <v>28</v>
      </c>
      <c r="E39" s="81" t="s">
        <v>140</v>
      </c>
      <c r="F39" s="58" t="s">
        <v>132</v>
      </c>
      <c r="G39" s="21" t="s">
        <v>20</v>
      </c>
      <c r="H39" s="15" t="s">
        <v>229</v>
      </c>
      <c r="I39" s="21" t="s">
        <v>232</v>
      </c>
    </row>
    <row r="40" spans="1:9" s="25" customFormat="1" ht="15.75" thickBot="1">
      <c r="A40" s="60" t="s">
        <v>185</v>
      </c>
      <c r="B40" s="61" t="s">
        <v>186</v>
      </c>
      <c r="C40" s="100">
        <v>48</v>
      </c>
      <c r="D40" s="61" t="s">
        <v>28</v>
      </c>
      <c r="E40" s="81" t="s">
        <v>140</v>
      </c>
      <c r="F40" s="58" t="s">
        <v>132</v>
      </c>
      <c r="G40" s="21" t="s">
        <v>20</v>
      </c>
      <c r="H40" s="15" t="s">
        <v>229</v>
      </c>
      <c r="I40" s="21" t="s">
        <v>232</v>
      </c>
    </row>
    <row r="41" spans="1:9" s="25" customFormat="1" ht="15.75" thickBot="1">
      <c r="A41" s="60" t="s">
        <v>187</v>
      </c>
      <c r="B41" s="61" t="s">
        <v>188</v>
      </c>
      <c r="C41" s="100">
        <v>30</v>
      </c>
      <c r="D41" s="61" t="s">
        <v>28</v>
      </c>
      <c r="E41" s="81" t="s">
        <v>189</v>
      </c>
      <c r="F41" s="58" t="s">
        <v>132</v>
      </c>
      <c r="G41" s="21" t="s">
        <v>20</v>
      </c>
      <c r="H41" s="15" t="s">
        <v>229</v>
      </c>
      <c r="I41" s="21" t="s">
        <v>232</v>
      </c>
    </row>
    <row r="42" spans="1:9" s="25" customFormat="1" ht="15.75" thickBot="1">
      <c r="A42" s="60" t="s">
        <v>190</v>
      </c>
      <c r="B42" s="61" t="s">
        <v>133</v>
      </c>
      <c r="C42" s="100">
        <v>4.492</v>
      </c>
      <c r="D42" s="61" t="s">
        <v>616</v>
      </c>
      <c r="E42" s="81" t="s">
        <v>134</v>
      </c>
      <c r="F42" s="58" t="s">
        <v>132</v>
      </c>
      <c r="G42" s="21" t="s">
        <v>20</v>
      </c>
      <c r="H42" s="15" t="s">
        <v>229</v>
      </c>
      <c r="I42" s="21" t="s">
        <v>232</v>
      </c>
    </row>
    <row r="43" spans="1:9" s="25" customFormat="1" ht="15.75" thickBot="1">
      <c r="A43" s="60" t="s">
        <v>191</v>
      </c>
      <c r="B43" s="61" t="s">
        <v>142</v>
      </c>
      <c r="C43" s="100">
        <v>1.1499999999999999</v>
      </c>
      <c r="D43" s="61" t="s">
        <v>616</v>
      </c>
      <c r="E43" s="81" t="s">
        <v>134</v>
      </c>
      <c r="F43" s="58" t="s">
        <v>132</v>
      </c>
      <c r="G43" s="21" t="s">
        <v>20</v>
      </c>
      <c r="H43" s="15" t="s">
        <v>229</v>
      </c>
      <c r="I43" s="21" t="s">
        <v>232</v>
      </c>
    </row>
    <row r="44" spans="1:9" s="25" customFormat="1" ht="15.75" thickBot="1">
      <c r="A44" s="60" t="s">
        <v>571</v>
      </c>
      <c r="B44" s="61" t="s">
        <v>220</v>
      </c>
      <c r="C44" s="100">
        <v>0.15</v>
      </c>
      <c r="D44" s="61" t="s">
        <v>317</v>
      </c>
      <c r="E44" s="81" t="s">
        <v>40</v>
      </c>
      <c r="F44" s="58" t="s">
        <v>132</v>
      </c>
      <c r="G44" s="21" t="s">
        <v>20</v>
      </c>
      <c r="H44" s="15" t="s">
        <v>40</v>
      </c>
      <c r="I44" s="21" t="s">
        <v>232</v>
      </c>
    </row>
    <row r="45" spans="1:9" s="25" customFormat="1" ht="15.75" thickBot="1">
      <c r="A45" s="60" t="s">
        <v>619</v>
      </c>
      <c r="B45" s="61" t="s">
        <v>380</v>
      </c>
      <c r="C45" s="100">
        <v>3.2</v>
      </c>
      <c r="D45" s="61" t="s">
        <v>317</v>
      </c>
      <c r="E45" s="81" t="s">
        <v>40</v>
      </c>
      <c r="F45" s="58" t="s">
        <v>132</v>
      </c>
      <c r="G45" s="21" t="s">
        <v>20</v>
      </c>
      <c r="H45" s="15" t="s">
        <v>40</v>
      </c>
      <c r="I45" s="21" t="s">
        <v>232</v>
      </c>
    </row>
    <row r="46" spans="1:9" s="25" customFormat="1" ht="15.75" thickBot="1">
      <c r="A46" s="60" t="s">
        <v>192</v>
      </c>
      <c r="B46" s="61" t="s">
        <v>169</v>
      </c>
      <c r="C46" s="100">
        <v>19.3</v>
      </c>
      <c r="D46" s="61" t="s">
        <v>28</v>
      </c>
      <c r="E46" s="81" t="s">
        <v>140</v>
      </c>
      <c r="F46" s="58" t="s">
        <v>132</v>
      </c>
      <c r="G46" s="21" t="s">
        <v>20</v>
      </c>
      <c r="H46" s="15" t="s">
        <v>229</v>
      </c>
      <c r="I46" s="21" t="s">
        <v>232</v>
      </c>
    </row>
    <row r="47" spans="1:9" s="25" customFormat="1" ht="15.75" thickBot="1">
      <c r="A47" s="60" t="s">
        <v>193</v>
      </c>
      <c r="B47" s="61" t="s">
        <v>194</v>
      </c>
      <c r="C47" s="100">
        <v>1</v>
      </c>
      <c r="D47" s="61" t="s">
        <v>8</v>
      </c>
      <c r="E47" s="81" t="s">
        <v>9</v>
      </c>
      <c r="F47" s="58" t="s">
        <v>132</v>
      </c>
      <c r="G47" s="21" t="s">
        <v>20</v>
      </c>
      <c r="H47" s="15" t="s">
        <v>230</v>
      </c>
      <c r="I47" s="21" t="s">
        <v>232</v>
      </c>
    </row>
    <row r="48" spans="1:9" s="25" customFormat="1" ht="15.75" thickBot="1">
      <c r="A48" s="60" t="s">
        <v>572</v>
      </c>
      <c r="B48" s="61" t="s">
        <v>220</v>
      </c>
      <c r="C48" s="100">
        <v>0.17380000000000001</v>
      </c>
      <c r="D48" s="61" t="s">
        <v>317</v>
      </c>
      <c r="E48" s="81" t="s">
        <v>40</v>
      </c>
      <c r="F48" s="58" t="s">
        <v>132</v>
      </c>
      <c r="G48" s="21" t="s">
        <v>20</v>
      </c>
      <c r="H48" s="15" t="s">
        <v>40</v>
      </c>
      <c r="I48" s="21" t="s">
        <v>232</v>
      </c>
    </row>
    <row r="49" spans="1:9" s="25" customFormat="1" ht="15.75" thickBot="1">
      <c r="A49" s="60" t="s">
        <v>195</v>
      </c>
      <c r="B49" s="61" t="s">
        <v>133</v>
      </c>
      <c r="C49" s="100">
        <v>2.1</v>
      </c>
      <c r="D49" s="61" t="s">
        <v>616</v>
      </c>
      <c r="E49" s="81" t="s">
        <v>134</v>
      </c>
      <c r="F49" s="58" t="s">
        <v>132</v>
      </c>
      <c r="G49" s="21" t="s">
        <v>20</v>
      </c>
      <c r="H49" s="15" t="s">
        <v>229</v>
      </c>
      <c r="I49" s="21" t="s">
        <v>232</v>
      </c>
    </row>
    <row r="50" spans="1:9" s="25" customFormat="1" ht="15.75" thickBot="1">
      <c r="A50" s="60" t="s">
        <v>198</v>
      </c>
      <c r="B50" s="61" t="s">
        <v>30</v>
      </c>
      <c r="C50" s="100">
        <v>0</v>
      </c>
      <c r="D50" s="61" t="s">
        <v>28</v>
      </c>
      <c r="E50" s="81" t="s">
        <v>199</v>
      </c>
      <c r="F50" s="58" t="s">
        <v>132</v>
      </c>
      <c r="G50" s="21" t="s">
        <v>20</v>
      </c>
      <c r="H50" s="15" t="s">
        <v>229</v>
      </c>
      <c r="I50" s="21" t="s">
        <v>232</v>
      </c>
    </row>
    <row r="51" spans="1:9" s="25" customFormat="1" ht="15.75" thickBot="1">
      <c r="A51" s="60" t="s">
        <v>200</v>
      </c>
      <c r="B51" s="61" t="s">
        <v>201</v>
      </c>
      <c r="C51" s="100">
        <v>15</v>
      </c>
      <c r="D51" s="61" t="s">
        <v>39</v>
      </c>
      <c r="E51" s="81" t="s">
        <v>40</v>
      </c>
      <c r="F51" s="58" t="s">
        <v>132</v>
      </c>
      <c r="G51" s="21" t="s">
        <v>20</v>
      </c>
      <c r="H51" s="15" t="s">
        <v>40</v>
      </c>
      <c r="I51" s="21" t="s">
        <v>232</v>
      </c>
    </row>
    <row r="52" spans="1:9" s="25" customFormat="1" ht="15.75" thickBot="1">
      <c r="A52" s="60" t="s">
        <v>202</v>
      </c>
      <c r="B52" s="61" t="s">
        <v>133</v>
      </c>
      <c r="C52" s="100">
        <v>1.7949999999999999</v>
      </c>
      <c r="D52" s="61" t="s">
        <v>616</v>
      </c>
      <c r="E52" s="81" t="s">
        <v>134</v>
      </c>
      <c r="F52" s="58" t="s">
        <v>132</v>
      </c>
      <c r="G52" s="21" t="s">
        <v>20</v>
      </c>
      <c r="H52" s="15" t="s">
        <v>229</v>
      </c>
      <c r="I52" s="21" t="s">
        <v>232</v>
      </c>
    </row>
    <row r="53" spans="1:9" s="25" customFormat="1" ht="15.75" thickBot="1">
      <c r="A53" s="60" t="s">
        <v>203</v>
      </c>
      <c r="B53" s="61" t="s">
        <v>136</v>
      </c>
      <c r="C53" s="100">
        <v>1.4870000000000001</v>
      </c>
      <c r="D53" s="61" t="s">
        <v>616</v>
      </c>
      <c r="E53" s="81" t="s">
        <v>134</v>
      </c>
      <c r="F53" s="58" t="s">
        <v>132</v>
      </c>
      <c r="G53" s="21" t="s">
        <v>20</v>
      </c>
      <c r="H53" s="15" t="s">
        <v>229</v>
      </c>
      <c r="I53" s="21" t="s">
        <v>232</v>
      </c>
    </row>
    <row r="54" spans="1:9" s="25" customFormat="1" ht="15.75" thickBot="1">
      <c r="A54" s="60" t="s">
        <v>204</v>
      </c>
      <c r="B54" s="61" t="s">
        <v>169</v>
      </c>
      <c r="C54" s="100">
        <v>7</v>
      </c>
      <c r="D54" s="61" t="s">
        <v>47</v>
      </c>
      <c r="E54" s="81" t="s">
        <v>140</v>
      </c>
      <c r="F54" s="58" t="s">
        <v>132</v>
      </c>
      <c r="G54" s="21" t="s">
        <v>20</v>
      </c>
      <c r="H54" s="15" t="s">
        <v>229</v>
      </c>
      <c r="I54" s="21" t="s">
        <v>232</v>
      </c>
    </row>
    <row r="55" spans="1:9" s="25" customFormat="1" ht="15.75" thickBot="1">
      <c r="A55" s="60" t="s">
        <v>205</v>
      </c>
      <c r="B55" s="61" t="s">
        <v>22</v>
      </c>
      <c r="C55" s="100">
        <v>15</v>
      </c>
      <c r="D55" s="61" t="s">
        <v>15</v>
      </c>
      <c r="E55" s="81" t="s">
        <v>206</v>
      </c>
      <c r="F55" s="58" t="s">
        <v>132</v>
      </c>
      <c r="G55" s="21" t="s">
        <v>20</v>
      </c>
      <c r="H55" s="15" t="s">
        <v>15</v>
      </c>
      <c r="I55" s="21" t="s">
        <v>232</v>
      </c>
    </row>
    <row r="56" spans="1:9" s="25" customFormat="1" ht="15.75" thickBot="1">
      <c r="A56" s="60" t="s">
        <v>207</v>
      </c>
      <c r="B56" s="61" t="s">
        <v>207</v>
      </c>
      <c r="C56" s="100">
        <v>3.3</v>
      </c>
      <c r="D56" s="61" t="s">
        <v>8</v>
      </c>
      <c r="E56" s="81" t="s">
        <v>134</v>
      </c>
      <c r="F56" s="58" t="s">
        <v>132</v>
      </c>
      <c r="G56" s="21" t="s">
        <v>20</v>
      </c>
      <c r="H56" s="15" t="s">
        <v>229</v>
      </c>
      <c r="I56" s="21" t="s">
        <v>232</v>
      </c>
    </row>
    <row r="57" spans="1:9" s="25" customFormat="1" ht="15.75" thickBot="1">
      <c r="A57" s="60" t="s">
        <v>573</v>
      </c>
      <c r="B57" s="61" t="s">
        <v>220</v>
      </c>
      <c r="C57" s="100">
        <v>0.95409999999999995</v>
      </c>
      <c r="D57" s="61" t="s">
        <v>317</v>
      </c>
      <c r="E57" s="81" t="s">
        <v>40</v>
      </c>
      <c r="F57" s="58" t="s">
        <v>132</v>
      </c>
      <c r="G57" s="21" t="s">
        <v>20</v>
      </c>
      <c r="H57" s="15" t="s">
        <v>40</v>
      </c>
      <c r="I57" s="21" t="s">
        <v>232</v>
      </c>
    </row>
    <row r="58" spans="1:9" s="25" customFormat="1" ht="15.75" thickBot="1">
      <c r="A58" s="60" t="s">
        <v>574</v>
      </c>
      <c r="B58" s="61" t="s">
        <v>220</v>
      </c>
      <c r="C58" s="100">
        <v>0.39319999999999999</v>
      </c>
      <c r="D58" s="61" t="s">
        <v>317</v>
      </c>
      <c r="E58" s="81" t="s">
        <v>40</v>
      </c>
      <c r="F58" s="58" t="s">
        <v>132</v>
      </c>
      <c r="G58" s="21" t="s">
        <v>20</v>
      </c>
      <c r="H58" s="15" t="s">
        <v>40</v>
      </c>
      <c r="I58" s="21" t="s">
        <v>232</v>
      </c>
    </row>
    <row r="59" spans="1:9" s="25" customFormat="1" ht="15.75" thickBot="1">
      <c r="A59" s="60" t="s">
        <v>575</v>
      </c>
      <c r="B59" s="61" t="s">
        <v>220</v>
      </c>
      <c r="C59" s="100">
        <v>0.17460000000000001</v>
      </c>
      <c r="D59" s="61" t="s">
        <v>317</v>
      </c>
      <c r="E59" s="81" t="s">
        <v>40</v>
      </c>
      <c r="F59" s="58" t="s">
        <v>132</v>
      </c>
      <c r="G59" s="21" t="s">
        <v>20</v>
      </c>
      <c r="H59" s="15" t="s">
        <v>40</v>
      </c>
      <c r="I59" s="21" t="s">
        <v>232</v>
      </c>
    </row>
    <row r="60" spans="1:9" s="25" customFormat="1" ht="15.75" thickBot="1">
      <c r="A60" s="60" t="s">
        <v>576</v>
      </c>
      <c r="B60" s="61" t="s">
        <v>220</v>
      </c>
      <c r="C60" s="100">
        <v>0.17050000000000001</v>
      </c>
      <c r="D60" s="61" t="s">
        <v>317</v>
      </c>
      <c r="E60" s="81" t="s">
        <v>40</v>
      </c>
      <c r="F60" s="58" t="s">
        <v>132</v>
      </c>
      <c r="G60" s="21" t="s">
        <v>20</v>
      </c>
      <c r="H60" s="15" t="s">
        <v>40</v>
      </c>
      <c r="I60" s="21" t="s">
        <v>232</v>
      </c>
    </row>
    <row r="61" spans="1:9" s="25" customFormat="1" ht="15.75" thickBot="1">
      <c r="A61" s="60" t="s">
        <v>577</v>
      </c>
      <c r="B61" s="61" t="s">
        <v>220</v>
      </c>
      <c r="C61" s="100">
        <v>0.2601</v>
      </c>
      <c r="D61" s="61" t="s">
        <v>317</v>
      </c>
      <c r="E61" s="81" t="s">
        <v>40</v>
      </c>
      <c r="F61" s="58" t="s">
        <v>132</v>
      </c>
      <c r="G61" s="21" t="s">
        <v>20</v>
      </c>
      <c r="H61" s="15" t="s">
        <v>40</v>
      </c>
      <c r="I61" s="21" t="s">
        <v>232</v>
      </c>
    </row>
    <row r="62" spans="1:9" s="25" customFormat="1" ht="15.75" thickBot="1">
      <c r="A62" s="60" t="s">
        <v>578</v>
      </c>
      <c r="B62" s="61" t="s">
        <v>220</v>
      </c>
      <c r="C62" s="100">
        <v>0.26369999999999999</v>
      </c>
      <c r="D62" s="61" t="s">
        <v>317</v>
      </c>
      <c r="E62" s="81" t="s">
        <v>40</v>
      </c>
      <c r="F62" s="58" t="s">
        <v>132</v>
      </c>
      <c r="G62" s="21" t="s">
        <v>20</v>
      </c>
      <c r="H62" s="15" t="s">
        <v>40</v>
      </c>
      <c r="I62" s="21" t="s">
        <v>232</v>
      </c>
    </row>
    <row r="63" spans="1:9" s="25" customFormat="1" ht="15.75" thickBot="1">
      <c r="A63" s="60" t="s">
        <v>579</v>
      </c>
      <c r="B63" s="61" t="s">
        <v>220</v>
      </c>
      <c r="C63" s="100">
        <v>1.228</v>
      </c>
      <c r="D63" s="61" t="s">
        <v>220</v>
      </c>
      <c r="E63" s="81" t="s">
        <v>140</v>
      </c>
      <c r="F63" s="58" t="s">
        <v>132</v>
      </c>
      <c r="G63" s="21" t="s">
        <v>20</v>
      </c>
      <c r="H63" s="15" t="s">
        <v>229</v>
      </c>
      <c r="I63" s="21" t="s">
        <v>232</v>
      </c>
    </row>
    <row r="64" spans="1:9" s="25" customFormat="1" ht="15.75" thickBot="1">
      <c r="A64" s="60" t="s">
        <v>580</v>
      </c>
      <c r="B64" s="61" t="s">
        <v>220</v>
      </c>
      <c r="C64" s="100">
        <v>1.0900000000000001</v>
      </c>
      <c r="D64" s="61" t="s">
        <v>317</v>
      </c>
      <c r="E64" s="81" t="s">
        <v>40</v>
      </c>
      <c r="F64" s="58" t="s">
        <v>132</v>
      </c>
      <c r="G64" s="21" t="s">
        <v>20</v>
      </c>
      <c r="H64" s="15" t="s">
        <v>40</v>
      </c>
      <c r="I64" s="21" t="s">
        <v>232</v>
      </c>
    </row>
    <row r="65" spans="1:9" s="25" customFormat="1" ht="15.75" thickBot="1">
      <c r="A65" s="60" t="s">
        <v>208</v>
      </c>
      <c r="B65" s="61" t="s">
        <v>209</v>
      </c>
      <c r="C65" s="100">
        <v>24</v>
      </c>
      <c r="D65" s="61" t="s">
        <v>28</v>
      </c>
      <c r="E65" s="81" t="s">
        <v>140</v>
      </c>
      <c r="F65" s="58" t="s">
        <v>132</v>
      </c>
      <c r="G65" s="21" t="s">
        <v>20</v>
      </c>
      <c r="H65" s="15" t="s">
        <v>229</v>
      </c>
      <c r="I65" s="21" t="s">
        <v>232</v>
      </c>
    </row>
    <row r="66" spans="1:9" s="25" customFormat="1" ht="15.75" thickBot="1">
      <c r="A66" s="60" t="s">
        <v>581</v>
      </c>
      <c r="B66" s="61" t="s">
        <v>220</v>
      </c>
      <c r="C66" s="100">
        <v>0.1966</v>
      </c>
      <c r="D66" s="61" t="s">
        <v>317</v>
      </c>
      <c r="E66" s="81" t="s">
        <v>40</v>
      </c>
      <c r="F66" s="58" t="s">
        <v>132</v>
      </c>
      <c r="G66" s="21" t="s">
        <v>20</v>
      </c>
      <c r="H66" s="15" t="s">
        <v>40</v>
      </c>
      <c r="I66" s="21" t="s">
        <v>232</v>
      </c>
    </row>
    <row r="67" spans="1:9" s="25" customFormat="1" ht="15.75" thickBot="1">
      <c r="A67" s="60" t="s">
        <v>210</v>
      </c>
      <c r="B67" s="61" t="s">
        <v>133</v>
      </c>
      <c r="C67" s="100">
        <v>0.78900000000000003</v>
      </c>
      <c r="D67" s="61" t="s">
        <v>616</v>
      </c>
      <c r="E67" s="81" t="s">
        <v>134</v>
      </c>
      <c r="F67" s="58" t="s">
        <v>132</v>
      </c>
      <c r="G67" s="21" t="s">
        <v>20</v>
      </c>
      <c r="H67" s="15" t="s">
        <v>229</v>
      </c>
      <c r="I67" s="21" t="s">
        <v>232</v>
      </c>
    </row>
    <row r="68" spans="1:9" s="25" customFormat="1" ht="15.75" thickBot="1">
      <c r="A68" s="60" t="s">
        <v>211</v>
      </c>
      <c r="B68" s="61" t="s">
        <v>93</v>
      </c>
      <c r="C68" s="100">
        <v>12</v>
      </c>
      <c r="D68" s="61" t="s">
        <v>12</v>
      </c>
      <c r="E68" s="81" t="s">
        <v>13</v>
      </c>
      <c r="F68" s="58" t="s">
        <v>132</v>
      </c>
      <c r="G68" s="21" t="s">
        <v>20</v>
      </c>
      <c r="H68" s="15" t="s">
        <v>13</v>
      </c>
      <c r="I68" s="21" t="s">
        <v>232</v>
      </c>
    </row>
    <row r="69" spans="1:9" s="25" customFormat="1" ht="15.75" thickBot="1">
      <c r="A69" s="60" t="s">
        <v>212</v>
      </c>
      <c r="B69" s="61" t="s">
        <v>22</v>
      </c>
      <c r="C69" s="100">
        <v>4.5</v>
      </c>
      <c r="D69" s="61" t="s">
        <v>26</v>
      </c>
      <c r="E69" s="81" t="s">
        <v>25</v>
      </c>
      <c r="F69" s="58" t="s">
        <v>132</v>
      </c>
      <c r="G69" s="21" t="s">
        <v>20</v>
      </c>
      <c r="H69" s="15" t="s">
        <v>25</v>
      </c>
      <c r="I69" s="21" t="s">
        <v>232</v>
      </c>
    </row>
    <row r="70" spans="1:9" s="25" customFormat="1" ht="15.75" thickBot="1">
      <c r="A70" s="60" t="s">
        <v>582</v>
      </c>
      <c r="B70" s="61" t="s">
        <v>220</v>
      </c>
      <c r="C70" s="100">
        <v>0.29559999999999997</v>
      </c>
      <c r="D70" s="61" t="s">
        <v>317</v>
      </c>
      <c r="E70" s="81" t="s">
        <v>40</v>
      </c>
      <c r="F70" s="58" t="s">
        <v>132</v>
      </c>
      <c r="G70" s="21" t="s">
        <v>20</v>
      </c>
      <c r="H70" s="15" t="s">
        <v>40</v>
      </c>
      <c r="I70" s="21" t="s">
        <v>232</v>
      </c>
    </row>
    <row r="71" spans="1:9" s="25" customFormat="1" ht="15.75" thickBot="1">
      <c r="A71" s="60" t="s">
        <v>213</v>
      </c>
      <c r="B71" s="61" t="s">
        <v>214</v>
      </c>
      <c r="C71" s="100">
        <v>180</v>
      </c>
      <c r="D71" s="61" t="s">
        <v>55</v>
      </c>
      <c r="E71" s="81" t="s">
        <v>16</v>
      </c>
      <c r="F71" s="58" t="s">
        <v>132</v>
      </c>
      <c r="G71" s="21" t="s">
        <v>20</v>
      </c>
      <c r="H71" s="15" t="s">
        <v>55</v>
      </c>
      <c r="I71" s="21" t="s">
        <v>232</v>
      </c>
    </row>
    <row r="72" spans="1:9" ht="15.75" thickBot="1"/>
    <row r="73" spans="1:9" ht="15.75" thickBot="1">
      <c r="A73" s="54" t="s">
        <v>96</v>
      </c>
      <c r="B73" s="101"/>
      <c r="C73" s="103">
        <f>SUM(existingnstable[Nameplate Capacity (MW)])</f>
        <v>942.28649999999982</v>
      </c>
      <c r="D73" s="101"/>
      <c r="E73" s="102"/>
      <c r="F73" s="101"/>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97"/>
  <sheetViews>
    <sheetView workbookViewId="0"/>
  </sheetViews>
  <sheetFormatPr defaultColWidth="9.140625" defaultRowHeight="15"/>
  <cols>
    <col min="1" max="1" width="35.85546875" style="25" bestFit="1" customWidth="1"/>
    <col min="2" max="2" width="48.5703125" style="25" bestFit="1" customWidth="1"/>
    <col min="3" max="3" width="24.7109375" style="25" bestFit="1" customWidth="1"/>
    <col min="4" max="4" width="26" style="25" bestFit="1" customWidth="1"/>
    <col min="5" max="5" width="14.85546875" style="25" bestFit="1" customWidth="1"/>
    <col min="6" max="6" width="14.7109375" style="25" bestFit="1" customWidth="1"/>
    <col min="7" max="7" width="21" style="25" bestFit="1" customWidth="1"/>
    <col min="8" max="8" width="12" style="25" bestFit="1" customWidth="1"/>
    <col min="9" max="9" width="21.42578125" style="25" bestFit="1" customWidth="1"/>
    <col min="10" max="10" width="81.140625" style="25" bestFit="1" customWidth="1"/>
    <col min="11" max="11" width="14.5703125" style="25" hidden="1" customWidth="1"/>
    <col min="12" max="12" width="24" style="25" hidden="1" customWidth="1"/>
    <col min="13" max="13" width="13.28515625" style="25" hidden="1" customWidth="1"/>
    <col min="14" max="14" width="6.140625" style="25" hidden="1" customWidth="1"/>
    <col min="15" max="15" width="15" style="73" hidden="1" customWidth="1"/>
    <col min="16" max="16384" width="9.140625" style="25"/>
  </cols>
  <sheetData>
    <row r="1" spans="1:15" ht="20.25" thickBot="1">
      <c r="A1" s="29" t="s">
        <v>215</v>
      </c>
    </row>
    <row r="2" spans="1:15" ht="15.75" thickBot="1">
      <c r="A2" s="71" t="s">
        <v>216</v>
      </c>
      <c r="B2" s="72" t="s">
        <v>2</v>
      </c>
      <c r="C2" s="72" t="s">
        <v>217</v>
      </c>
      <c r="D2" s="72" t="s">
        <v>3</v>
      </c>
      <c r="E2" s="72" t="s">
        <v>4</v>
      </c>
      <c r="F2" s="72" t="s">
        <v>218</v>
      </c>
      <c r="G2" s="72" t="s">
        <v>131</v>
      </c>
      <c r="H2" s="72" t="s">
        <v>5</v>
      </c>
      <c r="I2" s="72" t="s">
        <v>219</v>
      </c>
      <c r="J2" s="72" t="s">
        <v>620</v>
      </c>
      <c r="K2" s="10" t="s">
        <v>237</v>
      </c>
      <c r="L2" s="10" t="s">
        <v>238</v>
      </c>
      <c r="M2" s="10" t="s">
        <v>239</v>
      </c>
      <c r="N2" s="10" t="s">
        <v>240</v>
      </c>
      <c r="O2" s="11" t="s">
        <v>241</v>
      </c>
    </row>
    <row r="3" spans="1:15" ht="15.75" thickBot="1">
      <c r="A3" s="14" t="s">
        <v>274</v>
      </c>
      <c r="B3" s="64" t="s">
        <v>275</v>
      </c>
      <c r="C3" s="65" t="s">
        <v>97</v>
      </c>
      <c r="D3" s="66" t="s">
        <v>39</v>
      </c>
      <c r="E3" s="65" t="s">
        <v>40</v>
      </c>
      <c r="F3" s="66" t="s">
        <v>242</v>
      </c>
      <c r="G3" s="65" t="s">
        <v>276</v>
      </c>
      <c r="H3" s="66" t="s">
        <v>14</v>
      </c>
      <c r="I3" s="65" t="s">
        <v>658</v>
      </c>
      <c r="J3" s="66" t="s">
        <v>653</v>
      </c>
      <c r="K3" s="124" t="s">
        <v>234</v>
      </c>
      <c r="L3" s="85">
        <v>265</v>
      </c>
      <c r="M3" s="124" t="s">
        <v>221</v>
      </c>
      <c r="N3" s="85" t="s">
        <v>20</v>
      </c>
      <c r="O3" s="124" t="s">
        <v>40</v>
      </c>
    </row>
    <row r="4" spans="1:15" ht="15.75" thickBot="1">
      <c r="A4" s="13" t="s">
        <v>277</v>
      </c>
      <c r="B4" s="67" t="s">
        <v>220</v>
      </c>
      <c r="C4" s="68" t="s">
        <v>277</v>
      </c>
      <c r="D4" s="69" t="s">
        <v>39</v>
      </c>
      <c r="E4" s="68" t="s">
        <v>40</v>
      </c>
      <c r="F4" s="69" t="s">
        <v>242</v>
      </c>
      <c r="G4" s="68" t="s">
        <v>278</v>
      </c>
      <c r="H4" s="69" t="s">
        <v>14</v>
      </c>
      <c r="I4" s="68" t="s">
        <v>658</v>
      </c>
      <c r="J4" s="69"/>
      <c r="K4" s="124" t="s">
        <v>234</v>
      </c>
      <c r="L4" s="85">
        <v>140</v>
      </c>
      <c r="M4" s="124" t="s">
        <v>221</v>
      </c>
      <c r="N4" s="85" t="s">
        <v>20</v>
      </c>
      <c r="O4" s="124" t="s">
        <v>40</v>
      </c>
    </row>
    <row r="5" spans="1:15" ht="15.75" thickBot="1">
      <c r="A5" s="13" t="s">
        <v>279</v>
      </c>
      <c r="B5" s="67" t="s">
        <v>280</v>
      </c>
      <c r="C5" s="68" t="s">
        <v>281</v>
      </c>
      <c r="D5" s="69" t="s">
        <v>12</v>
      </c>
      <c r="E5" s="68" t="s">
        <v>13</v>
      </c>
      <c r="F5" s="69" t="s">
        <v>242</v>
      </c>
      <c r="G5" s="68" t="s">
        <v>282</v>
      </c>
      <c r="H5" s="69" t="s">
        <v>14</v>
      </c>
      <c r="I5" s="68" t="s">
        <v>658</v>
      </c>
      <c r="J5" s="69"/>
      <c r="K5" s="124" t="s">
        <v>234</v>
      </c>
      <c r="L5" s="85">
        <v>120</v>
      </c>
      <c r="M5" s="124" t="s">
        <v>221</v>
      </c>
      <c r="N5" s="85" t="s">
        <v>20</v>
      </c>
      <c r="O5" s="124" t="s">
        <v>13</v>
      </c>
    </row>
    <row r="6" spans="1:15" ht="15.75" thickBot="1">
      <c r="A6" s="13" t="s">
        <v>283</v>
      </c>
      <c r="B6" s="67" t="s">
        <v>284</v>
      </c>
      <c r="C6" s="68" t="s">
        <v>97</v>
      </c>
      <c r="D6" s="69" t="s">
        <v>39</v>
      </c>
      <c r="E6" s="68" t="s">
        <v>40</v>
      </c>
      <c r="F6" s="69" t="s">
        <v>684</v>
      </c>
      <c r="G6" s="68" t="s">
        <v>285</v>
      </c>
      <c r="H6" s="69" t="s">
        <v>223</v>
      </c>
      <c r="I6" s="68" t="s">
        <v>658</v>
      </c>
      <c r="J6" s="69"/>
      <c r="K6" s="124" t="s">
        <v>234</v>
      </c>
      <c r="L6" s="85">
        <v>14.7</v>
      </c>
      <c r="M6" s="124" t="s">
        <v>221</v>
      </c>
      <c r="N6" s="85" t="s">
        <v>20</v>
      </c>
      <c r="O6" s="124" t="s">
        <v>40</v>
      </c>
    </row>
    <row r="7" spans="1:15" ht="15.75" thickBot="1">
      <c r="A7" s="13" t="s">
        <v>286</v>
      </c>
      <c r="B7" s="67" t="s">
        <v>287</v>
      </c>
      <c r="C7" s="68" t="s">
        <v>288</v>
      </c>
      <c r="D7" s="69" t="s">
        <v>39</v>
      </c>
      <c r="E7" s="68" t="s">
        <v>40</v>
      </c>
      <c r="F7" s="69" t="s">
        <v>242</v>
      </c>
      <c r="G7" s="68" t="s">
        <v>310</v>
      </c>
      <c r="H7" s="69" t="s">
        <v>14</v>
      </c>
      <c r="I7" s="68" t="s">
        <v>658</v>
      </c>
      <c r="J7" s="69" t="s">
        <v>621</v>
      </c>
      <c r="K7" s="124" t="s">
        <v>234</v>
      </c>
      <c r="L7" s="85">
        <v>92.5</v>
      </c>
      <c r="M7" s="124" t="s">
        <v>221</v>
      </c>
      <c r="N7" s="85" t="s">
        <v>20</v>
      </c>
      <c r="O7" s="124" t="s">
        <v>40</v>
      </c>
    </row>
    <row r="8" spans="1:15" ht="15.75" thickBot="1">
      <c r="A8" s="13" t="s">
        <v>617</v>
      </c>
      <c r="B8" s="67" t="s">
        <v>297</v>
      </c>
      <c r="C8" s="70" t="s">
        <v>298</v>
      </c>
      <c r="D8" s="69" t="s">
        <v>51</v>
      </c>
      <c r="E8" s="70" t="s">
        <v>40</v>
      </c>
      <c r="F8" s="69" t="s">
        <v>242</v>
      </c>
      <c r="G8" s="70" t="s">
        <v>252</v>
      </c>
      <c r="H8" s="69" t="s">
        <v>14</v>
      </c>
      <c r="I8" s="70" t="s">
        <v>658</v>
      </c>
      <c r="J8" s="69"/>
      <c r="K8" s="124" t="s">
        <v>234</v>
      </c>
      <c r="L8" s="85">
        <v>150</v>
      </c>
      <c r="M8" s="124" t="s">
        <v>221</v>
      </c>
      <c r="N8" s="85" t="s">
        <v>20</v>
      </c>
      <c r="O8" s="124" t="s">
        <v>40</v>
      </c>
    </row>
    <row r="9" spans="1:15" ht="15.75" thickBot="1">
      <c r="A9" s="13" t="s">
        <v>659</v>
      </c>
      <c r="B9" s="67" t="s">
        <v>660</v>
      </c>
      <c r="C9" s="70" t="s">
        <v>220</v>
      </c>
      <c r="D9" s="69" t="s">
        <v>39</v>
      </c>
      <c r="E9" s="70" t="s">
        <v>40</v>
      </c>
      <c r="F9" s="69" t="s">
        <v>242</v>
      </c>
      <c r="G9" s="70" t="s">
        <v>273</v>
      </c>
      <c r="H9" s="69" t="s">
        <v>14</v>
      </c>
      <c r="I9" s="70" t="s">
        <v>658</v>
      </c>
      <c r="J9" s="69" t="s">
        <v>661</v>
      </c>
      <c r="K9" s="124" t="s">
        <v>234</v>
      </c>
      <c r="L9" s="85">
        <v>60</v>
      </c>
      <c r="M9" s="124" t="s">
        <v>221</v>
      </c>
      <c r="N9" s="85" t="s">
        <v>20</v>
      </c>
      <c r="O9" s="124" t="s">
        <v>40</v>
      </c>
    </row>
    <row r="10" spans="1:15" ht="15.75" thickBot="1">
      <c r="A10" s="13" t="s">
        <v>289</v>
      </c>
      <c r="B10" s="67" t="s">
        <v>245</v>
      </c>
      <c r="C10" s="70" t="s">
        <v>124</v>
      </c>
      <c r="D10" s="69" t="s">
        <v>39</v>
      </c>
      <c r="E10" s="70" t="s">
        <v>40</v>
      </c>
      <c r="F10" s="69" t="s">
        <v>242</v>
      </c>
      <c r="G10" s="70" t="s">
        <v>253</v>
      </c>
      <c r="H10" s="69" t="s">
        <v>223</v>
      </c>
      <c r="I10" s="70" t="s">
        <v>270</v>
      </c>
      <c r="J10" s="69" t="s">
        <v>622</v>
      </c>
      <c r="K10" s="124" t="s">
        <v>234</v>
      </c>
      <c r="L10" s="85">
        <v>100</v>
      </c>
      <c r="M10" s="124" t="s">
        <v>221</v>
      </c>
      <c r="N10" s="85" t="s">
        <v>20</v>
      </c>
      <c r="O10" s="124" t="s">
        <v>40</v>
      </c>
    </row>
    <row r="11" spans="1:15" ht="15.75" thickBot="1">
      <c r="A11" s="13" t="s">
        <v>290</v>
      </c>
      <c r="B11" s="67" t="s">
        <v>291</v>
      </c>
      <c r="C11" s="70" t="s">
        <v>97</v>
      </c>
      <c r="D11" s="69" t="s">
        <v>39</v>
      </c>
      <c r="E11" s="70" t="s">
        <v>40</v>
      </c>
      <c r="F11" s="69" t="s">
        <v>242</v>
      </c>
      <c r="G11" s="70" t="s">
        <v>664</v>
      </c>
      <c r="H11" s="69" t="s">
        <v>14</v>
      </c>
      <c r="I11" s="70" t="s">
        <v>658</v>
      </c>
      <c r="J11" s="69"/>
      <c r="K11" s="124" t="s">
        <v>234</v>
      </c>
      <c r="L11" s="85">
        <v>200</v>
      </c>
      <c r="M11" s="124" t="s">
        <v>221</v>
      </c>
      <c r="N11" s="85" t="s">
        <v>20</v>
      </c>
      <c r="O11" s="124" t="s">
        <v>40</v>
      </c>
    </row>
    <row r="12" spans="1:15" ht="15.75" thickBot="1">
      <c r="A12" s="13" t="s">
        <v>292</v>
      </c>
      <c r="B12" s="67" t="s">
        <v>245</v>
      </c>
      <c r="C12" s="70" t="s">
        <v>124</v>
      </c>
      <c r="D12" s="69" t="s">
        <v>39</v>
      </c>
      <c r="E12" s="70" t="s">
        <v>40</v>
      </c>
      <c r="F12" s="69" t="s">
        <v>242</v>
      </c>
      <c r="G12" s="70" t="s">
        <v>293</v>
      </c>
      <c r="H12" s="69" t="s">
        <v>223</v>
      </c>
      <c r="I12" s="70" t="s">
        <v>658</v>
      </c>
      <c r="J12" s="69" t="s">
        <v>622</v>
      </c>
      <c r="K12" s="124" t="s">
        <v>234</v>
      </c>
      <c r="L12" s="85">
        <v>40</v>
      </c>
      <c r="M12" s="124" t="s">
        <v>221</v>
      </c>
      <c r="N12" s="85" t="s">
        <v>20</v>
      </c>
      <c r="O12" s="124" t="s">
        <v>40</v>
      </c>
    </row>
    <row r="13" spans="1:15" ht="15.75" thickBot="1">
      <c r="A13" s="13" t="s">
        <v>294</v>
      </c>
      <c r="B13" s="67" t="s">
        <v>295</v>
      </c>
      <c r="C13" s="70" t="s">
        <v>296</v>
      </c>
      <c r="D13" s="69" t="s">
        <v>51</v>
      </c>
      <c r="E13" s="70" t="s">
        <v>40</v>
      </c>
      <c r="F13" s="69" t="s">
        <v>242</v>
      </c>
      <c r="G13" s="70" t="s">
        <v>258</v>
      </c>
      <c r="H13" s="69" t="s">
        <v>223</v>
      </c>
      <c r="I13" s="70" t="s">
        <v>658</v>
      </c>
      <c r="J13" s="69"/>
      <c r="K13" s="124" t="s">
        <v>234</v>
      </c>
      <c r="L13" s="85">
        <v>90</v>
      </c>
      <c r="M13" s="124" t="s">
        <v>221</v>
      </c>
      <c r="N13" s="85" t="s">
        <v>20</v>
      </c>
      <c r="O13" s="124" t="s">
        <v>40</v>
      </c>
    </row>
    <row r="14" spans="1:15" ht="15.75" thickBot="1">
      <c r="A14" s="13" t="s">
        <v>299</v>
      </c>
      <c r="B14" s="67" t="s">
        <v>272</v>
      </c>
      <c r="C14" s="70" t="s">
        <v>300</v>
      </c>
      <c r="D14" s="69" t="s">
        <v>51</v>
      </c>
      <c r="E14" s="70" t="s">
        <v>40</v>
      </c>
      <c r="F14" s="69" t="s">
        <v>242</v>
      </c>
      <c r="G14" s="70" t="s">
        <v>301</v>
      </c>
      <c r="H14" s="69" t="s">
        <v>14</v>
      </c>
      <c r="I14" s="70" t="s">
        <v>658</v>
      </c>
      <c r="J14" s="69"/>
      <c r="K14" s="124" t="s">
        <v>234</v>
      </c>
      <c r="L14" s="85">
        <v>1200</v>
      </c>
      <c r="M14" s="124" t="s">
        <v>221</v>
      </c>
      <c r="N14" s="85" t="s">
        <v>20</v>
      </c>
      <c r="O14" s="124" t="s">
        <v>40</v>
      </c>
    </row>
    <row r="15" spans="1:15" ht="15.75" thickBot="1">
      <c r="A15" s="13" t="s">
        <v>722</v>
      </c>
      <c r="B15" s="67" t="s">
        <v>302</v>
      </c>
      <c r="C15" s="70" t="s">
        <v>124</v>
      </c>
      <c r="D15" s="69" t="s">
        <v>51</v>
      </c>
      <c r="E15" s="70" t="s">
        <v>40</v>
      </c>
      <c r="F15" s="69" t="s">
        <v>242</v>
      </c>
      <c r="G15" s="70" t="s">
        <v>269</v>
      </c>
      <c r="H15" s="69" t="s">
        <v>14</v>
      </c>
      <c r="I15" s="70" t="s">
        <v>658</v>
      </c>
      <c r="J15" s="69"/>
      <c r="K15" s="124" t="s">
        <v>234</v>
      </c>
      <c r="L15" s="85">
        <v>55</v>
      </c>
      <c r="M15" s="124" t="s">
        <v>221</v>
      </c>
      <c r="N15" s="85" t="s">
        <v>20</v>
      </c>
      <c r="O15" s="124" t="s">
        <v>40</v>
      </c>
    </row>
    <row r="16" spans="1:15" ht="15.75" thickBot="1">
      <c r="A16" s="13" t="s">
        <v>723</v>
      </c>
      <c r="B16" s="67" t="s">
        <v>302</v>
      </c>
      <c r="C16" s="70" t="s">
        <v>220</v>
      </c>
      <c r="D16" s="69" t="s">
        <v>631</v>
      </c>
      <c r="E16" s="70" t="s">
        <v>244</v>
      </c>
      <c r="F16" s="69" t="s">
        <v>242</v>
      </c>
      <c r="G16" s="70" t="s">
        <v>724</v>
      </c>
      <c r="H16" s="69" t="s">
        <v>10</v>
      </c>
      <c r="I16" s="70"/>
      <c r="J16" s="69" t="s">
        <v>725</v>
      </c>
      <c r="K16" s="124" t="s">
        <v>234</v>
      </c>
      <c r="L16" s="85">
        <v>20</v>
      </c>
      <c r="M16" s="124" t="s">
        <v>221</v>
      </c>
      <c r="N16" s="85" t="s">
        <v>20</v>
      </c>
      <c r="O16" s="124" t="s">
        <v>631</v>
      </c>
    </row>
    <row r="17" spans="1:15" ht="15.75" thickBot="1">
      <c r="A17" s="13" t="s">
        <v>303</v>
      </c>
      <c r="B17" s="67" t="s">
        <v>304</v>
      </c>
      <c r="C17" s="70" t="s">
        <v>97</v>
      </c>
      <c r="D17" s="69" t="s">
        <v>51</v>
      </c>
      <c r="E17" s="70" t="s">
        <v>40</v>
      </c>
      <c r="F17" s="69" t="s">
        <v>243</v>
      </c>
      <c r="G17" s="70" t="s">
        <v>305</v>
      </c>
      <c r="H17" s="69" t="s">
        <v>14</v>
      </c>
      <c r="I17" s="70" t="s">
        <v>648</v>
      </c>
      <c r="J17" s="69"/>
      <c r="K17" s="124" t="s">
        <v>233</v>
      </c>
      <c r="L17" s="85">
        <v>56</v>
      </c>
      <c r="M17" s="124" t="s">
        <v>221</v>
      </c>
      <c r="N17" s="85" t="s">
        <v>20</v>
      </c>
      <c r="O17" s="124" t="s">
        <v>40</v>
      </c>
    </row>
    <row r="18" spans="1:15" ht="15.75" thickBot="1">
      <c r="A18" s="13" t="s">
        <v>306</v>
      </c>
      <c r="B18" s="67" t="s">
        <v>272</v>
      </c>
      <c r="C18" s="70" t="s">
        <v>100</v>
      </c>
      <c r="D18" s="69" t="s">
        <v>51</v>
      </c>
      <c r="E18" s="70" t="s">
        <v>40</v>
      </c>
      <c r="F18" s="69" t="s">
        <v>242</v>
      </c>
      <c r="G18" s="70" t="s">
        <v>249</v>
      </c>
      <c r="H18" s="69" t="s">
        <v>14</v>
      </c>
      <c r="I18" s="70" t="s">
        <v>658</v>
      </c>
      <c r="J18" s="69"/>
      <c r="K18" s="124" t="s">
        <v>234</v>
      </c>
      <c r="L18" s="85">
        <v>112</v>
      </c>
      <c r="M18" s="124" t="s">
        <v>221</v>
      </c>
      <c r="N18" s="85" t="s">
        <v>20</v>
      </c>
      <c r="O18" s="124" t="s">
        <v>40</v>
      </c>
    </row>
    <row r="19" spans="1:15" ht="15.75" thickBot="1">
      <c r="A19" s="13" t="s">
        <v>307</v>
      </c>
      <c r="B19" s="67" t="s">
        <v>87</v>
      </c>
      <c r="C19" s="70" t="s">
        <v>99</v>
      </c>
      <c r="D19" s="69" t="s">
        <v>51</v>
      </c>
      <c r="E19" s="70" t="s">
        <v>40</v>
      </c>
      <c r="F19" s="69" t="s">
        <v>242</v>
      </c>
      <c r="G19" s="70" t="s">
        <v>308</v>
      </c>
      <c r="H19" s="69" t="s">
        <v>14</v>
      </c>
      <c r="I19" s="70" t="s">
        <v>658</v>
      </c>
      <c r="J19" s="69" t="s">
        <v>653</v>
      </c>
      <c r="K19" s="124" t="s">
        <v>234</v>
      </c>
      <c r="L19" s="85">
        <v>350</v>
      </c>
      <c r="M19" s="124" t="s">
        <v>221</v>
      </c>
      <c r="N19" s="85" t="s">
        <v>20</v>
      </c>
      <c r="O19" s="124" t="s">
        <v>40</v>
      </c>
    </row>
    <row r="20" spans="1:15" ht="15.75" thickBot="1">
      <c r="A20" s="13" t="s">
        <v>662</v>
      </c>
      <c r="B20" s="67" t="s">
        <v>663</v>
      </c>
      <c r="C20" s="70" t="s">
        <v>220</v>
      </c>
      <c r="D20" s="69" t="s">
        <v>39</v>
      </c>
      <c r="E20" s="70" t="s">
        <v>40</v>
      </c>
      <c r="F20" s="69" t="s">
        <v>242</v>
      </c>
      <c r="G20" s="70" t="s">
        <v>664</v>
      </c>
      <c r="H20" s="69" t="s">
        <v>14</v>
      </c>
      <c r="I20" s="70" t="s">
        <v>658</v>
      </c>
      <c r="J20" s="69" t="s">
        <v>665</v>
      </c>
      <c r="K20" s="124" t="s">
        <v>234</v>
      </c>
      <c r="L20" s="85">
        <v>200</v>
      </c>
      <c r="M20" s="124" t="s">
        <v>221</v>
      </c>
      <c r="N20" s="85" t="s">
        <v>20</v>
      </c>
      <c r="O20" s="124" t="s">
        <v>40</v>
      </c>
    </row>
    <row r="21" spans="1:15" ht="15.75" thickBot="1">
      <c r="A21" s="13" t="s">
        <v>666</v>
      </c>
      <c r="B21" s="67" t="s">
        <v>663</v>
      </c>
      <c r="C21" s="70" t="s">
        <v>220</v>
      </c>
      <c r="D21" s="69" t="s">
        <v>12</v>
      </c>
      <c r="E21" s="70" t="s">
        <v>13</v>
      </c>
      <c r="F21" s="69" t="s">
        <v>242</v>
      </c>
      <c r="G21" s="70" t="s">
        <v>220</v>
      </c>
      <c r="H21" s="69" t="s">
        <v>14</v>
      </c>
      <c r="I21" s="70" t="s">
        <v>658</v>
      </c>
      <c r="J21" s="69" t="s">
        <v>665</v>
      </c>
      <c r="K21" s="124" t="s">
        <v>234</v>
      </c>
      <c r="L21" s="85">
        <v>0</v>
      </c>
      <c r="M21" s="124" t="s">
        <v>222</v>
      </c>
      <c r="N21" s="85" t="s">
        <v>20</v>
      </c>
      <c r="O21" s="124" t="s">
        <v>13</v>
      </c>
    </row>
    <row r="22" spans="1:15" ht="15.75" thickBot="1">
      <c r="A22" s="13" t="s">
        <v>101</v>
      </c>
      <c r="B22" s="67" t="s">
        <v>309</v>
      </c>
      <c r="C22" s="70" t="s">
        <v>102</v>
      </c>
      <c r="D22" s="69" t="s">
        <v>39</v>
      </c>
      <c r="E22" s="70" t="s">
        <v>40</v>
      </c>
      <c r="F22" s="69" t="s">
        <v>233</v>
      </c>
      <c r="G22" s="70" t="s">
        <v>310</v>
      </c>
      <c r="H22" s="69" t="s">
        <v>14</v>
      </c>
      <c r="I22" s="70" t="s">
        <v>256</v>
      </c>
      <c r="J22" s="69" t="s">
        <v>623</v>
      </c>
      <c r="K22" s="124" t="s">
        <v>233</v>
      </c>
      <c r="L22" s="85">
        <v>92.5</v>
      </c>
      <c r="M22" s="124" t="s">
        <v>221</v>
      </c>
      <c r="N22" s="85" t="s">
        <v>20</v>
      </c>
      <c r="O22" s="124" t="s">
        <v>40</v>
      </c>
    </row>
    <row r="23" spans="1:15" ht="15.75" thickBot="1">
      <c r="A23" s="13" t="s">
        <v>311</v>
      </c>
      <c r="B23" s="67" t="s">
        <v>250</v>
      </c>
      <c r="C23" s="70" t="s">
        <v>124</v>
      </c>
      <c r="D23" s="69" t="s">
        <v>39</v>
      </c>
      <c r="E23" s="70" t="s">
        <v>40</v>
      </c>
      <c r="F23" s="69" t="s">
        <v>242</v>
      </c>
      <c r="G23" s="70" t="s">
        <v>247</v>
      </c>
      <c r="H23" s="69" t="s">
        <v>14</v>
      </c>
      <c r="I23" s="70" t="s">
        <v>312</v>
      </c>
      <c r="J23" s="69"/>
      <c r="K23" s="124" t="s">
        <v>234</v>
      </c>
      <c r="L23" s="85">
        <v>120</v>
      </c>
      <c r="M23" s="124" t="s">
        <v>221</v>
      </c>
      <c r="N23" s="85" t="s">
        <v>20</v>
      </c>
      <c r="O23" s="124" t="s">
        <v>40</v>
      </c>
    </row>
    <row r="24" spans="1:15" ht="15.75" thickBot="1">
      <c r="A24" s="13" t="s">
        <v>103</v>
      </c>
      <c r="B24" s="67" t="s">
        <v>93</v>
      </c>
      <c r="C24" s="70" t="s">
        <v>104</v>
      </c>
      <c r="D24" s="69" t="s">
        <v>39</v>
      </c>
      <c r="E24" s="70" t="s">
        <v>40</v>
      </c>
      <c r="F24" s="69" t="s">
        <v>233</v>
      </c>
      <c r="G24" s="70" t="s">
        <v>313</v>
      </c>
      <c r="H24" s="69" t="s">
        <v>14</v>
      </c>
      <c r="I24" s="70" t="s">
        <v>314</v>
      </c>
      <c r="J24" s="69"/>
      <c r="K24" s="124" t="s">
        <v>233</v>
      </c>
      <c r="L24" s="85">
        <v>42.5</v>
      </c>
      <c r="M24" s="124" t="s">
        <v>221</v>
      </c>
      <c r="N24" s="85" t="s">
        <v>20</v>
      </c>
      <c r="O24" s="124" t="s">
        <v>40</v>
      </c>
    </row>
    <row r="25" spans="1:15" ht="15.75" thickBot="1">
      <c r="A25" s="13" t="s">
        <v>315</v>
      </c>
      <c r="B25" s="67" t="s">
        <v>316</v>
      </c>
      <c r="C25" s="70" t="s">
        <v>317</v>
      </c>
      <c r="D25" s="69" t="s">
        <v>39</v>
      </c>
      <c r="E25" s="70" t="s">
        <v>40</v>
      </c>
      <c r="F25" s="69" t="s">
        <v>242</v>
      </c>
      <c r="G25" s="70" t="s">
        <v>318</v>
      </c>
      <c r="H25" s="69" t="s">
        <v>14</v>
      </c>
      <c r="I25" s="70" t="s">
        <v>658</v>
      </c>
      <c r="J25" s="69"/>
      <c r="K25" s="124" t="s">
        <v>234</v>
      </c>
      <c r="L25" s="85">
        <v>324</v>
      </c>
      <c r="M25" s="124" t="s">
        <v>221</v>
      </c>
      <c r="N25" s="85" t="s">
        <v>20</v>
      </c>
      <c r="O25" s="124" t="s">
        <v>40</v>
      </c>
    </row>
    <row r="26" spans="1:15" ht="15.75" thickBot="1">
      <c r="A26" s="13" t="s">
        <v>624</v>
      </c>
      <c r="B26" s="67" t="s">
        <v>625</v>
      </c>
      <c r="C26" s="70" t="s">
        <v>626</v>
      </c>
      <c r="D26" s="69" t="s">
        <v>39</v>
      </c>
      <c r="E26" s="70" t="s">
        <v>40</v>
      </c>
      <c r="F26" s="69" t="s">
        <v>242</v>
      </c>
      <c r="G26" s="70" t="s">
        <v>714</v>
      </c>
      <c r="H26" s="69" t="s">
        <v>14</v>
      </c>
      <c r="I26" s="70" t="s">
        <v>658</v>
      </c>
      <c r="J26" s="69"/>
      <c r="K26" s="124" t="s">
        <v>234</v>
      </c>
      <c r="L26" s="85">
        <v>285</v>
      </c>
      <c r="M26" s="124" t="s">
        <v>221</v>
      </c>
      <c r="N26" s="85" t="s">
        <v>20</v>
      </c>
      <c r="O26" s="124" t="s">
        <v>40</v>
      </c>
    </row>
    <row r="27" spans="1:15" ht="15.75" thickBot="1">
      <c r="A27" s="13" t="s">
        <v>105</v>
      </c>
      <c r="B27" s="67" t="s">
        <v>38</v>
      </c>
      <c r="C27" s="70" t="s">
        <v>106</v>
      </c>
      <c r="D27" s="69" t="s">
        <v>12</v>
      </c>
      <c r="E27" s="70" t="s">
        <v>13</v>
      </c>
      <c r="F27" s="69" t="s">
        <v>243</v>
      </c>
      <c r="G27" s="70" t="s">
        <v>262</v>
      </c>
      <c r="H27" s="69" t="s">
        <v>14</v>
      </c>
      <c r="I27" s="70" t="s">
        <v>319</v>
      </c>
      <c r="J27" s="69"/>
      <c r="K27" s="124" t="s">
        <v>233</v>
      </c>
      <c r="L27" s="85">
        <v>350</v>
      </c>
      <c r="M27" s="124" t="s">
        <v>221</v>
      </c>
      <c r="N27" s="85" t="s">
        <v>20</v>
      </c>
      <c r="O27" s="124" t="s">
        <v>13</v>
      </c>
    </row>
    <row r="28" spans="1:15" ht="15.75" thickBot="1">
      <c r="A28" s="13" t="s">
        <v>320</v>
      </c>
      <c r="B28" s="67" t="s">
        <v>220</v>
      </c>
      <c r="C28" s="70" t="s">
        <v>321</v>
      </c>
      <c r="D28" s="69" t="s">
        <v>51</v>
      </c>
      <c r="E28" s="70" t="s">
        <v>40</v>
      </c>
      <c r="F28" s="69" t="s">
        <v>242</v>
      </c>
      <c r="G28" s="70" t="s">
        <v>322</v>
      </c>
      <c r="H28" s="69" t="s">
        <v>223</v>
      </c>
      <c r="I28" s="70" t="s">
        <v>658</v>
      </c>
      <c r="J28" s="69" t="s">
        <v>653</v>
      </c>
      <c r="K28" s="124" t="s">
        <v>234</v>
      </c>
      <c r="L28" s="85">
        <v>30</v>
      </c>
      <c r="M28" s="124" t="s">
        <v>221</v>
      </c>
      <c r="N28" s="85" t="s">
        <v>20</v>
      </c>
      <c r="O28" s="124" t="s">
        <v>40</v>
      </c>
    </row>
    <row r="29" spans="1:15" ht="15.75" thickBot="1">
      <c r="A29" s="13" t="s">
        <v>108</v>
      </c>
      <c r="B29" s="67" t="s">
        <v>108</v>
      </c>
      <c r="C29" s="70" t="s">
        <v>97</v>
      </c>
      <c r="D29" s="69" t="s">
        <v>39</v>
      </c>
      <c r="E29" s="70" t="s">
        <v>40</v>
      </c>
      <c r="F29" s="69" t="s">
        <v>233</v>
      </c>
      <c r="G29" s="70" t="s">
        <v>323</v>
      </c>
      <c r="H29" s="69" t="s">
        <v>14</v>
      </c>
      <c r="I29" s="70" t="s">
        <v>649</v>
      </c>
      <c r="J29" s="69" t="s">
        <v>653</v>
      </c>
      <c r="K29" s="124" t="s">
        <v>233</v>
      </c>
      <c r="L29" s="85">
        <v>167.5</v>
      </c>
      <c r="M29" s="124" t="s">
        <v>221</v>
      </c>
      <c r="N29" s="85" t="s">
        <v>20</v>
      </c>
      <c r="O29" s="124" t="s">
        <v>40</v>
      </c>
    </row>
    <row r="30" spans="1:15" ht="15.75" thickBot="1">
      <c r="A30" s="13" t="s">
        <v>324</v>
      </c>
      <c r="B30" s="67" t="s">
        <v>325</v>
      </c>
      <c r="C30" s="70" t="s">
        <v>97</v>
      </c>
      <c r="D30" s="69" t="s">
        <v>39</v>
      </c>
      <c r="E30" s="70" t="s">
        <v>40</v>
      </c>
      <c r="F30" s="69" t="s">
        <v>242</v>
      </c>
      <c r="G30" s="70" t="s">
        <v>265</v>
      </c>
      <c r="H30" s="69" t="s">
        <v>14</v>
      </c>
      <c r="I30" s="70" t="s">
        <v>658</v>
      </c>
      <c r="J30" s="69"/>
      <c r="K30" s="124" t="s">
        <v>234</v>
      </c>
      <c r="L30" s="85">
        <v>250</v>
      </c>
      <c r="M30" s="124" t="s">
        <v>221</v>
      </c>
      <c r="N30" s="85" t="s">
        <v>20</v>
      </c>
      <c r="O30" s="124" t="s">
        <v>40</v>
      </c>
    </row>
    <row r="31" spans="1:15" ht="15.75" thickBot="1">
      <c r="A31" s="13" t="s">
        <v>753</v>
      </c>
      <c r="B31" s="67" t="s">
        <v>268</v>
      </c>
      <c r="C31" s="70" t="s">
        <v>97</v>
      </c>
      <c r="D31" s="69" t="s">
        <v>39</v>
      </c>
      <c r="E31" s="70" t="s">
        <v>40</v>
      </c>
      <c r="F31" s="69" t="s">
        <v>242</v>
      </c>
      <c r="G31" s="70" t="s">
        <v>754</v>
      </c>
      <c r="H31" s="69" t="s">
        <v>14</v>
      </c>
      <c r="I31" s="70" t="s">
        <v>658</v>
      </c>
      <c r="J31" s="69" t="s">
        <v>755</v>
      </c>
      <c r="K31" s="124" t="s">
        <v>234</v>
      </c>
      <c r="L31" s="85">
        <v>85</v>
      </c>
      <c r="M31" s="124" t="s">
        <v>221</v>
      </c>
      <c r="N31" s="85" t="s">
        <v>20</v>
      </c>
      <c r="O31" s="124" t="s">
        <v>40</v>
      </c>
    </row>
    <row r="32" spans="1:15" ht="15.75" thickBot="1">
      <c r="A32" s="13" t="s">
        <v>326</v>
      </c>
      <c r="B32" s="67" t="s">
        <v>327</v>
      </c>
      <c r="C32" s="70" t="s">
        <v>253</v>
      </c>
      <c r="D32" s="69" t="s">
        <v>39</v>
      </c>
      <c r="E32" s="70" t="s">
        <v>40</v>
      </c>
      <c r="F32" s="69" t="s">
        <v>242</v>
      </c>
      <c r="G32" s="70" t="s">
        <v>253</v>
      </c>
      <c r="H32" s="69" t="s">
        <v>14</v>
      </c>
      <c r="I32" s="70" t="s">
        <v>658</v>
      </c>
      <c r="J32" s="69"/>
      <c r="K32" s="124" t="s">
        <v>234</v>
      </c>
      <c r="L32" s="85">
        <v>100</v>
      </c>
      <c r="M32" s="124" t="s">
        <v>221</v>
      </c>
      <c r="N32" s="85" t="s">
        <v>20</v>
      </c>
      <c r="O32" s="124" t="s">
        <v>40</v>
      </c>
    </row>
    <row r="33" spans="1:15" ht="15.75" thickBot="1">
      <c r="A33" s="13" t="s">
        <v>328</v>
      </c>
      <c r="B33" s="67" t="s">
        <v>608</v>
      </c>
      <c r="C33" s="70" t="s">
        <v>609</v>
      </c>
      <c r="D33" s="69" t="s">
        <v>51</v>
      </c>
      <c r="E33" s="70" t="s">
        <v>40</v>
      </c>
      <c r="F33" s="69" t="s">
        <v>243</v>
      </c>
      <c r="G33" s="70" t="s">
        <v>329</v>
      </c>
      <c r="H33" s="69" t="s">
        <v>14</v>
      </c>
      <c r="I33" s="70" t="s">
        <v>422</v>
      </c>
      <c r="J33" s="69"/>
      <c r="K33" s="124" t="s">
        <v>233</v>
      </c>
      <c r="L33" s="85">
        <v>72</v>
      </c>
      <c r="M33" s="124" t="s">
        <v>221</v>
      </c>
      <c r="N33" s="85" t="s">
        <v>20</v>
      </c>
      <c r="O33" s="124" t="s">
        <v>40</v>
      </c>
    </row>
    <row r="34" spans="1:15" ht="15.75" thickBot="1">
      <c r="A34" s="13" t="s">
        <v>330</v>
      </c>
      <c r="B34" s="67" t="s">
        <v>245</v>
      </c>
      <c r="C34" s="70" t="s">
        <v>331</v>
      </c>
      <c r="D34" s="69" t="s">
        <v>12</v>
      </c>
      <c r="E34" s="70" t="s">
        <v>13</v>
      </c>
      <c r="F34" s="69" t="s">
        <v>242</v>
      </c>
      <c r="G34" s="70" t="s">
        <v>126</v>
      </c>
      <c r="H34" s="69" t="s">
        <v>14</v>
      </c>
      <c r="I34" s="70" t="s">
        <v>658</v>
      </c>
      <c r="J34" s="69" t="s">
        <v>627</v>
      </c>
      <c r="K34" s="124" t="s">
        <v>234</v>
      </c>
      <c r="L34" s="85">
        <v>75</v>
      </c>
      <c r="M34" s="124" t="s">
        <v>221</v>
      </c>
      <c r="N34" s="85" t="s">
        <v>20</v>
      </c>
      <c r="O34" s="124" t="s">
        <v>13</v>
      </c>
    </row>
    <row r="35" spans="1:15" ht="15.75" thickBot="1">
      <c r="A35" s="13" t="s">
        <v>332</v>
      </c>
      <c r="B35" s="67" t="s">
        <v>155</v>
      </c>
      <c r="C35" s="70" t="s">
        <v>333</v>
      </c>
      <c r="D35" s="69" t="s">
        <v>616</v>
      </c>
      <c r="E35" s="70" t="s">
        <v>34</v>
      </c>
      <c r="F35" s="69" t="s">
        <v>242</v>
      </c>
      <c r="G35" s="70" t="s">
        <v>334</v>
      </c>
      <c r="H35" s="69" t="s">
        <v>223</v>
      </c>
      <c r="I35" s="70" t="s">
        <v>658</v>
      </c>
      <c r="J35" s="69"/>
      <c r="K35" s="124" t="s">
        <v>234</v>
      </c>
      <c r="L35" s="85">
        <v>15.205</v>
      </c>
      <c r="M35" s="124" t="s">
        <v>221</v>
      </c>
      <c r="N35" s="85" t="s">
        <v>20</v>
      </c>
      <c r="O35" s="124" t="s">
        <v>228</v>
      </c>
    </row>
    <row r="36" spans="1:15" ht="15.75" thickBot="1">
      <c r="A36" s="13" t="s">
        <v>335</v>
      </c>
      <c r="B36" s="67" t="s">
        <v>336</v>
      </c>
      <c r="C36" s="70" t="s">
        <v>337</v>
      </c>
      <c r="D36" s="69" t="s">
        <v>39</v>
      </c>
      <c r="E36" s="70" t="s">
        <v>40</v>
      </c>
      <c r="F36" s="69" t="s">
        <v>242</v>
      </c>
      <c r="G36" s="70" t="s">
        <v>338</v>
      </c>
      <c r="H36" s="69" t="s">
        <v>223</v>
      </c>
      <c r="I36" s="70" t="s">
        <v>339</v>
      </c>
      <c r="J36" s="69"/>
      <c r="K36" s="124" t="s">
        <v>234</v>
      </c>
      <c r="L36" s="85">
        <v>0.1656</v>
      </c>
      <c r="M36" s="124" t="s">
        <v>221</v>
      </c>
      <c r="N36" s="85" t="s">
        <v>20</v>
      </c>
      <c r="O36" s="124" t="s">
        <v>40</v>
      </c>
    </row>
    <row r="37" spans="1:15" ht="15.75" thickBot="1">
      <c r="A37" s="13" t="s">
        <v>340</v>
      </c>
      <c r="B37" s="67" t="s">
        <v>336</v>
      </c>
      <c r="C37" s="70" t="s">
        <v>341</v>
      </c>
      <c r="D37" s="69" t="s">
        <v>39</v>
      </c>
      <c r="E37" s="70" t="s">
        <v>40</v>
      </c>
      <c r="F37" s="69" t="s">
        <v>248</v>
      </c>
      <c r="G37" s="70" t="s">
        <v>342</v>
      </c>
      <c r="H37" s="69" t="s">
        <v>223</v>
      </c>
      <c r="I37" s="70" t="s">
        <v>339</v>
      </c>
      <c r="J37" s="69"/>
      <c r="K37" s="124" t="s">
        <v>234</v>
      </c>
      <c r="L37" s="85">
        <v>0.33119999999999999</v>
      </c>
      <c r="M37" s="124" t="s">
        <v>221</v>
      </c>
      <c r="N37" s="85" t="s">
        <v>20</v>
      </c>
      <c r="O37" s="124" t="s">
        <v>40</v>
      </c>
    </row>
    <row r="38" spans="1:15" ht="15.75" thickBot="1">
      <c r="A38" s="13" t="s">
        <v>343</v>
      </c>
      <c r="B38" s="67" t="s">
        <v>336</v>
      </c>
      <c r="C38" s="70" t="s">
        <v>344</v>
      </c>
      <c r="D38" s="69" t="s">
        <v>39</v>
      </c>
      <c r="E38" s="70" t="s">
        <v>40</v>
      </c>
      <c r="F38" s="69" t="s">
        <v>248</v>
      </c>
      <c r="G38" s="70" t="s">
        <v>342</v>
      </c>
      <c r="H38" s="69" t="s">
        <v>223</v>
      </c>
      <c r="I38" s="70" t="s">
        <v>339</v>
      </c>
      <c r="J38" s="69"/>
      <c r="K38" s="124" t="s">
        <v>234</v>
      </c>
      <c r="L38" s="85">
        <v>0.33119999999999999</v>
      </c>
      <c r="M38" s="124" t="s">
        <v>221</v>
      </c>
      <c r="N38" s="85" t="s">
        <v>20</v>
      </c>
      <c r="O38" s="124" t="s">
        <v>40</v>
      </c>
    </row>
    <row r="39" spans="1:15" ht="15.75" thickBot="1">
      <c r="A39" s="13" t="s">
        <v>345</v>
      </c>
      <c r="B39" s="67" t="s">
        <v>346</v>
      </c>
      <c r="C39" s="70" t="s">
        <v>347</v>
      </c>
      <c r="D39" s="69" t="s">
        <v>39</v>
      </c>
      <c r="E39" s="70" t="s">
        <v>40</v>
      </c>
      <c r="F39" s="69" t="s">
        <v>242</v>
      </c>
      <c r="G39" s="70" t="s">
        <v>263</v>
      </c>
      <c r="H39" s="69" t="s">
        <v>14</v>
      </c>
      <c r="I39" s="70" t="s">
        <v>348</v>
      </c>
      <c r="J39" s="69" t="s">
        <v>628</v>
      </c>
      <c r="K39" s="124" t="s">
        <v>234</v>
      </c>
      <c r="L39" s="85">
        <v>1000</v>
      </c>
      <c r="M39" s="124" t="s">
        <v>221</v>
      </c>
      <c r="N39" s="85" t="s">
        <v>20</v>
      </c>
      <c r="O39" s="124" t="s">
        <v>40</v>
      </c>
    </row>
    <row r="40" spans="1:15" ht="15.75" thickBot="1">
      <c r="A40" s="13" t="s">
        <v>349</v>
      </c>
      <c r="B40" s="67" t="s">
        <v>346</v>
      </c>
      <c r="C40" s="70" t="s">
        <v>97</v>
      </c>
      <c r="D40" s="69" t="s">
        <v>631</v>
      </c>
      <c r="E40" s="70" t="s">
        <v>771</v>
      </c>
      <c r="F40" s="69" t="s">
        <v>242</v>
      </c>
      <c r="G40" s="70" t="s">
        <v>263</v>
      </c>
      <c r="H40" s="69" t="s">
        <v>10</v>
      </c>
      <c r="I40" s="70" t="s">
        <v>658</v>
      </c>
      <c r="J40" s="69"/>
      <c r="K40" s="124" t="s">
        <v>234</v>
      </c>
      <c r="L40" s="85">
        <v>1000</v>
      </c>
      <c r="M40" s="124" t="s">
        <v>221</v>
      </c>
      <c r="N40" s="85" t="s">
        <v>20</v>
      </c>
      <c r="O40" s="124" t="s">
        <v>631</v>
      </c>
    </row>
    <row r="41" spans="1:15" ht="15.75" thickBot="1">
      <c r="A41" s="13" t="s">
        <v>350</v>
      </c>
      <c r="B41" s="67" t="s">
        <v>346</v>
      </c>
      <c r="C41" s="70" t="s">
        <v>97</v>
      </c>
      <c r="D41" s="69" t="s">
        <v>39</v>
      </c>
      <c r="E41" s="70" t="s">
        <v>40</v>
      </c>
      <c r="F41" s="69" t="s">
        <v>242</v>
      </c>
      <c r="G41" s="70" t="s">
        <v>351</v>
      </c>
      <c r="H41" s="69" t="s">
        <v>14</v>
      </c>
      <c r="I41" s="70" t="s">
        <v>658</v>
      </c>
      <c r="J41" s="69"/>
      <c r="K41" s="124" t="s">
        <v>234</v>
      </c>
      <c r="L41" s="85">
        <v>1050</v>
      </c>
      <c r="M41" s="124" t="s">
        <v>221</v>
      </c>
      <c r="N41" s="85" t="s">
        <v>20</v>
      </c>
      <c r="O41" s="124" t="s">
        <v>40</v>
      </c>
    </row>
    <row r="42" spans="1:15" ht="15.75" thickBot="1">
      <c r="A42" s="13" t="s">
        <v>110</v>
      </c>
      <c r="B42" s="67" t="s">
        <v>355</v>
      </c>
      <c r="C42" s="70" t="s">
        <v>111</v>
      </c>
      <c r="D42" s="69" t="s">
        <v>51</v>
      </c>
      <c r="E42" s="70" t="s">
        <v>40</v>
      </c>
      <c r="F42" s="69" t="s">
        <v>233</v>
      </c>
      <c r="G42" s="70" t="s">
        <v>253</v>
      </c>
      <c r="H42" s="69" t="s">
        <v>14</v>
      </c>
      <c r="I42" s="70" t="s">
        <v>650</v>
      </c>
      <c r="J42" s="69" t="s">
        <v>629</v>
      </c>
      <c r="K42" s="124" t="s">
        <v>233</v>
      </c>
      <c r="L42" s="85">
        <v>100</v>
      </c>
      <c r="M42" s="124" t="s">
        <v>221</v>
      </c>
      <c r="N42" s="85" t="s">
        <v>20</v>
      </c>
      <c r="O42" s="124" t="s">
        <v>40</v>
      </c>
    </row>
    <row r="43" spans="1:15" ht="15.75" thickBot="1">
      <c r="A43" s="13" t="s">
        <v>112</v>
      </c>
      <c r="B43" s="67" t="s">
        <v>112</v>
      </c>
      <c r="C43" s="70" t="s">
        <v>97</v>
      </c>
      <c r="D43" s="69" t="s">
        <v>39</v>
      </c>
      <c r="E43" s="70" t="s">
        <v>40</v>
      </c>
      <c r="F43" s="69" t="s">
        <v>233</v>
      </c>
      <c r="G43" s="70" t="s">
        <v>254</v>
      </c>
      <c r="H43" s="69" t="s">
        <v>14</v>
      </c>
      <c r="I43" s="70" t="s">
        <v>651</v>
      </c>
      <c r="J43" s="69" t="s">
        <v>685</v>
      </c>
      <c r="K43" s="124" t="s">
        <v>233</v>
      </c>
      <c r="L43" s="85">
        <v>50</v>
      </c>
      <c r="M43" s="124" t="s">
        <v>221</v>
      </c>
      <c r="N43" s="85" t="s">
        <v>20</v>
      </c>
      <c r="O43" s="124" t="s">
        <v>40</v>
      </c>
    </row>
    <row r="44" spans="1:15" ht="15.75" thickBot="1">
      <c r="A44" s="13" t="s">
        <v>356</v>
      </c>
      <c r="B44" s="67" t="s">
        <v>93</v>
      </c>
      <c r="C44" s="70" t="s">
        <v>129</v>
      </c>
      <c r="D44" s="69" t="s">
        <v>12</v>
      </c>
      <c r="E44" s="70" t="s">
        <v>13</v>
      </c>
      <c r="F44" s="69" t="s">
        <v>242</v>
      </c>
      <c r="G44" s="70" t="s">
        <v>357</v>
      </c>
      <c r="H44" s="69" t="s">
        <v>14</v>
      </c>
      <c r="I44" s="70" t="s">
        <v>266</v>
      </c>
      <c r="J44" s="69"/>
      <c r="K44" s="124" t="s">
        <v>234</v>
      </c>
      <c r="L44" s="85">
        <v>59</v>
      </c>
      <c r="M44" s="124" t="s">
        <v>221</v>
      </c>
      <c r="N44" s="85" t="s">
        <v>20</v>
      </c>
      <c r="O44" s="124" t="s">
        <v>13</v>
      </c>
    </row>
    <row r="45" spans="1:15" ht="15.75" thickBot="1">
      <c r="A45" s="13" t="s">
        <v>358</v>
      </c>
      <c r="B45" s="67" t="s">
        <v>359</v>
      </c>
      <c r="C45" s="70" t="s">
        <v>124</v>
      </c>
      <c r="D45" s="69" t="s">
        <v>39</v>
      </c>
      <c r="E45" s="70" t="s">
        <v>40</v>
      </c>
      <c r="F45" s="69" t="s">
        <v>242</v>
      </c>
      <c r="G45" s="70" t="s">
        <v>360</v>
      </c>
      <c r="H45" s="69" t="s">
        <v>223</v>
      </c>
      <c r="I45" s="70" t="s">
        <v>658</v>
      </c>
      <c r="J45" s="69"/>
      <c r="K45" s="124" t="s">
        <v>234</v>
      </c>
      <c r="L45" s="85">
        <v>18</v>
      </c>
      <c r="M45" s="124" t="s">
        <v>221</v>
      </c>
      <c r="N45" s="85" t="s">
        <v>20</v>
      </c>
      <c r="O45" s="124" t="s">
        <v>40</v>
      </c>
    </row>
    <row r="46" spans="1:15" ht="15.75" thickBot="1">
      <c r="A46" s="13" t="s">
        <v>361</v>
      </c>
      <c r="B46" s="67" t="s">
        <v>255</v>
      </c>
      <c r="C46" s="70" t="s">
        <v>97</v>
      </c>
      <c r="D46" s="69" t="s">
        <v>631</v>
      </c>
      <c r="E46" s="70" t="s">
        <v>771</v>
      </c>
      <c r="F46" s="69" t="s">
        <v>242</v>
      </c>
      <c r="G46" s="70" t="s">
        <v>253</v>
      </c>
      <c r="H46" s="69" t="s">
        <v>10</v>
      </c>
      <c r="I46" s="70" t="s">
        <v>658</v>
      </c>
      <c r="J46" s="69" t="s">
        <v>630</v>
      </c>
      <c r="K46" s="124" t="s">
        <v>234</v>
      </c>
      <c r="L46" s="85">
        <v>100</v>
      </c>
      <c r="M46" s="124" t="s">
        <v>221</v>
      </c>
      <c r="N46" s="85" t="s">
        <v>20</v>
      </c>
      <c r="O46" s="124" t="s">
        <v>631</v>
      </c>
    </row>
    <row r="47" spans="1:15" ht="15.75" thickBot="1">
      <c r="A47" s="13" t="s">
        <v>362</v>
      </c>
      <c r="B47" s="67" t="s">
        <v>255</v>
      </c>
      <c r="C47" s="70" t="s">
        <v>363</v>
      </c>
      <c r="D47" s="69" t="s">
        <v>12</v>
      </c>
      <c r="E47" s="70" t="s">
        <v>13</v>
      </c>
      <c r="F47" s="69" t="s">
        <v>242</v>
      </c>
      <c r="G47" s="70" t="s">
        <v>220</v>
      </c>
      <c r="H47" s="69" t="s">
        <v>14</v>
      </c>
      <c r="I47" s="70" t="s">
        <v>658</v>
      </c>
      <c r="J47" s="69" t="s">
        <v>630</v>
      </c>
      <c r="K47" s="124" t="s">
        <v>234</v>
      </c>
      <c r="L47" s="85">
        <v>0</v>
      </c>
      <c r="M47" s="124" t="s">
        <v>222</v>
      </c>
      <c r="N47" s="85" t="s">
        <v>20</v>
      </c>
      <c r="O47" s="124" t="s">
        <v>13</v>
      </c>
    </row>
    <row r="48" spans="1:15" ht="15.75" thickBot="1">
      <c r="A48" s="13" t="s">
        <v>364</v>
      </c>
      <c r="B48" s="67" t="s">
        <v>365</v>
      </c>
      <c r="C48" s="70" t="s">
        <v>97</v>
      </c>
      <c r="D48" s="69" t="s">
        <v>39</v>
      </c>
      <c r="E48" s="70" t="s">
        <v>40</v>
      </c>
      <c r="F48" s="69" t="s">
        <v>242</v>
      </c>
      <c r="G48" s="70" t="s">
        <v>254</v>
      </c>
      <c r="H48" s="69" t="s">
        <v>14</v>
      </c>
      <c r="I48" s="70" t="s">
        <v>658</v>
      </c>
      <c r="J48" s="69"/>
      <c r="K48" s="124" t="s">
        <v>234</v>
      </c>
      <c r="L48" s="85">
        <v>50</v>
      </c>
      <c r="M48" s="124" t="s">
        <v>221</v>
      </c>
      <c r="N48" s="85" t="s">
        <v>20</v>
      </c>
      <c r="O48" s="124" t="s">
        <v>40</v>
      </c>
    </row>
    <row r="49" spans="1:15" ht="15.75" thickBot="1">
      <c r="A49" s="13" t="s">
        <v>113</v>
      </c>
      <c r="B49" s="67" t="s">
        <v>366</v>
      </c>
      <c r="C49" s="70" t="s">
        <v>109</v>
      </c>
      <c r="D49" s="69" t="s">
        <v>51</v>
      </c>
      <c r="E49" s="70" t="s">
        <v>40</v>
      </c>
      <c r="F49" s="69" t="s">
        <v>243</v>
      </c>
      <c r="G49" s="70" t="s">
        <v>259</v>
      </c>
      <c r="H49" s="69" t="s">
        <v>14</v>
      </c>
      <c r="I49" s="70" t="s">
        <v>760</v>
      </c>
      <c r="J49" s="69" t="s">
        <v>762</v>
      </c>
      <c r="K49" s="124" t="s">
        <v>233</v>
      </c>
      <c r="L49" s="85">
        <v>15</v>
      </c>
      <c r="M49" s="124" t="s">
        <v>221</v>
      </c>
      <c r="N49" s="85" t="s">
        <v>20</v>
      </c>
      <c r="O49" s="124" t="s">
        <v>40</v>
      </c>
    </row>
    <row r="50" spans="1:15" ht="15.75" thickBot="1">
      <c r="A50" s="13" t="s">
        <v>114</v>
      </c>
      <c r="B50" s="67" t="s">
        <v>367</v>
      </c>
      <c r="C50" s="70" t="s">
        <v>97</v>
      </c>
      <c r="D50" s="69" t="s">
        <v>631</v>
      </c>
      <c r="E50" s="70" t="s">
        <v>771</v>
      </c>
      <c r="F50" s="69" t="s">
        <v>243</v>
      </c>
      <c r="G50" s="70" t="s">
        <v>715</v>
      </c>
      <c r="H50" s="69" t="s">
        <v>14</v>
      </c>
      <c r="I50" s="70" t="s">
        <v>760</v>
      </c>
      <c r="J50" s="69" t="s">
        <v>762</v>
      </c>
      <c r="K50" s="124" t="s">
        <v>233</v>
      </c>
      <c r="L50" s="85">
        <v>2</v>
      </c>
      <c r="M50" s="124" t="s">
        <v>221</v>
      </c>
      <c r="N50" s="85" t="s">
        <v>20</v>
      </c>
      <c r="O50" s="124" t="s">
        <v>631</v>
      </c>
    </row>
    <row r="51" spans="1:15" ht="15.75" thickBot="1">
      <c r="A51" s="13" t="s">
        <v>115</v>
      </c>
      <c r="B51" s="67" t="s">
        <v>366</v>
      </c>
      <c r="C51" s="70" t="s">
        <v>116</v>
      </c>
      <c r="D51" s="69" t="s">
        <v>12</v>
      </c>
      <c r="E51" s="70" t="s">
        <v>13</v>
      </c>
      <c r="F51" s="69" t="s">
        <v>243</v>
      </c>
      <c r="G51" s="70" t="s">
        <v>368</v>
      </c>
      <c r="H51" s="69" t="s">
        <v>14</v>
      </c>
      <c r="I51" s="70" t="s">
        <v>760</v>
      </c>
      <c r="J51" s="69" t="s">
        <v>762</v>
      </c>
      <c r="K51" s="124" t="s">
        <v>233</v>
      </c>
      <c r="L51" s="85">
        <v>43.2</v>
      </c>
      <c r="M51" s="124" t="s">
        <v>221</v>
      </c>
      <c r="N51" s="85" t="s">
        <v>20</v>
      </c>
      <c r="O51" s="124" t="s">
        <v>13</v>
      </c>
    </row>
    <row r="52" spans="1:15" ht="15.75" thickBot="1">
      <c r="A52" s="13" t="s">
        <v>610</v>
      </c>
      <c r="B52" s="67" t="s">
        <v>611</v>
      </c>
      <c r="C52" s="70" t="s">
        <v>97</v>
      </c>
      <c r="D52" s="69" t="s">
        <v>39</v>
      </c>
      <c r="E52" s="70" t="s">
        <v>40</v>
      </c>
      <c r="F52" s="69" t="s">
        <v>242</v>
      </c>
      <c r="G52" s="70" t="s">
        <v>436</v>
      </c>
      <c r="H52" s="69" t="s">
        <v>14</v>
      </c>
      <c r="I52" s="70" t="s">
        <v>658</v>
      </c>
      <c r="J52" s="69"/>
      <c r="K52" s="124" t="s">
        <v>234</v>
      </c>
      <c r="L52" s="85">
        <v>650</v>
      </c>
      <c r="M52" s="124" t="s">
        <v>221</v>
      </c>
      <c r="N52" s="85" t="s">
        <v>20</v>
      </c>
      <c r="O52" s="124" t="s">
        <v>40</v>
      </c>
    </row>
    <row r="53" spans="1:15" ht="15.75" thickBot="1">
      <c r="A53" s="13" t="s">
        <v>612</v>
      </c>
      <c r="B53" s="67" t="s">
        <v>611</v>
      </c>
      <c r="C53" s="70" t="s">
        <v>97</v>
      </c>
      <c r="D53" s="69" t="s">
        <v>12</v>
      </c>
      <c r="E53" s="70" t="s">
        <v>13</v>
      </c>
      <c r="F53" s="69" t="s">
        <v>242</v>
      </c>
      <c r="G53" s="70" t="s">
        <v>436</v>
      </c>
      <c r="H53" s="69" t="s">
        <v>14</v>
      </c>
      <c r="I53" s="70" t="s">
        <v>658</v>
      </c>
      <c r="J53" s="69"/>
      <c r="K53" s="124" t="s">
        <v>234</v>
      </c>
      <c r="L53" s="85">
        <v>650</v>
      </c>
      <c r="M53" s="124" t="s">
        <v>221</v>
      </c>
      <c r="N53" s="85" t="s">
        <v>20</v>
      </c>
      <c r="O53" s="124" t="s">
        <v>13</v>
      </c>
    </row>
    <row r="54" spans="1:15" ht="15.75" thickBot="1">
      <c r="A54" s="13" t="s">
        <v>369</v>
      </c>
      <c r="B54" s="67" t="s">
        <v>66</v>
      </c>
      <c r="C54" s="70" t="s">
        <v>370</v>
      </c>
      <c r="D54" s="69" t="s">
        <v>770</v>
      </c>
      <c r="E54" s="70" t="s">
        <v>25</v>
      </c>
      <c r="F54" s="69" t="s">
        <v>242</v>
      </c>
      <c r="G54" s="70" t="s">
        <v>265</v>
      </c>
      <c r="H54" s="69" t="s">
        <v>10</v>
      </c>
      <c r="I54" s="70" t="s">
        <v>658</v>
      </c>
      <c r="J54" s="69" t="s">
        <v>632</v>
      </c>
      <c r="K54" s="124" t="s">
        <v>234</v>
      </c>
      <c r="L54" s="85">
        <v>250</v>
      </c>
      <c r="M54" s="124" t="s">
        <v>221</v>
      </c>
      <c r="N54" s="85" t="s">
        <v>20</v>
      </c>
      <c r="O54" s="124" t="s">
        <v>25</v>
      </c>
    </row>
    <row r="55" spans="1:15" ht="15.75" thickBot="1">
      <c r="A55" s="13" t="s">
        <v>371</v>
      </c>
      <c r="B55" s="67" t="s">
        <v>66</v>
      </c>
      <c r="C55" s="70" t="s">
        <v>372</v>
      </c>
      <c r="D55" s="69" t="s">
        <v>39</v>
      </c>
      <c r="E55" s="70" t="s">
        <v>40</v>
      </c>
      <c r="F55" s="69" t="s">
        <v>242</v>
      </c>
      <c r="G55" s="70" t="s">
        <v>373</v>
      </c>
      <c r="H55" s="69" t="s">
        <v>14</v>
      </c>
      <c r="I55" s="70" t="s">
        <v>658</v>
      </c>
      <c r="J55" s="69" t="s">
        <v>633</v>
      </c>
      <c r="K55" s="124" t="s">
        <v>234</v>
      </c>
      <c r="L55" s="85">
        <v>270</v>
      </c>
      <c r="M55" s="124" t="s">
        <v>221</v>
      </c>
      <c r="N55" s="85" t="s">
        <v>20</v>
      </c>
      <c r="O55" s="124" t="s">
        <v>40</v>
      </c>
    </row>
    <row r="56" spans="1:15" ht="15.75" thickBot="1">
      <c r="A56" s="13" t="s">
        <v>374</v>
      </c>
      <c r="B56" s="67" t="s">
        <v>66</v>
      </c>
      <c r="C56" s="70" t="s">
        <v>375</v>
      </c>
      <c r="D56" s="69" t="s">
        <v>12</v>
      </c>
      <c r="E56" s="70" t="s">
        <v>13</v>
      </c>
      <c r="F56" s="69" t="s">
        <v>242</v>
      </c>
      <c r="G56" s="70" t="s">
        <v>252</v>
      </c>
      <c r="H56" s="69" t="s">
        <v>14</v>
      </c>
      <c r="I56" s="70" t="s">
        <v>658</v>
      </c>
      <c r="J56" s="69" t="s">
        <v>634</v>
      </c>
      <c r="K56" s="124" t="s">
        <v>234</v>
      </c>
      <c r="L56" s="85">
        <v>150</v>
      </c>
      <c r="M56" s="124" t="s">
        <v>221</v>
      </c>
      <c r="N56" s="85" t="s">
        <v>20</v>
      </c>
      <c r="O56" s="124" t="s">
        <v>13</v>
      </c>
    </row>
    <row r="57" spans="1:15" ht="15.75" thickBot="1">
      <c r="A57" s="13" t="s">
        <v>376</v>
      </c>
      <c r="B57" s="67" t="s">
        <v>377</v>
      </c>
      <c r="C57" s="70" t="s">
        <v>613</v>
      </c>
      <c r="D57" s="69" t="s">
        <v>51</v>
      </c>
      <c r="E57" s="70" t="s">
        <v>40</v>
      </c>
      <c r="F57" s="69" t="s">
        <v>242</v>
      </c>
      <c r="G57" s="70" t="s">
        <v>220</v>
      </c>
      <c r="H57" s="69" t="s">
        <v>14</v>
      </c>
      <c r="I57" s="70" t="s">
        <v>658</v>
      </c>
      <c r="J57" s="69" t="s">
        <v>635</v>
      </c>
      <c r="K57" s="124" t="s">
        <v>234</v>
      </c>
      <c r="L57" s="85">
        <v>0</v>
      </c>
      <c r="M57" s="124" t="s">
        <v>222</v>
      </c>
      <c r="N57" s="85" t="s">
        <v>20</v>
      </c>
      <c r="O57" s="124" t="s">
        <v>40</v>
      </c>
    </row>
    <row r="58" spans="1:15" ht="15.75" thickBot="1">
      <c r="A58" s="13" t="s">
        <v>378</v>
      </c>
      <c r="B58" s="67" t="s">
        <v>268</v>
      </c>
      <c r="C58" s="70" t="s">
        <v>124</v>
      </c>
      <c r="D58" s="69" t="s">
        <v>39</v>
      </c>
      <c r="E58" s="70" t="s">
        <v>40</v>
      </c>
      <c r="F58" s="69" t="s">
        <v>242</v>
      </c>
      <c r="G58" s="70" t="s">
        <v>269</v>
      </c>
      <c r="H58" s="69" t="s">
        <v>14</v>
      </c>
      <c r="I58" s="70" t="s">
        <v>658</v>
      </c>
      <c r="J58" s="69"/>
      <c r="K58" s="124" t="s">
        <v>234</v>
      </c>
      <c r="L58" s="85">
        <v>55</v>
      </c>
      <c r="M58" s="124" t="s">
        <v>221</v>
      </c>
      <c r="N58" s="85" t="s">
        <v>20</v>
      </c>
      <c r="O58" s="124" t="s">
        <v>40</v>
      </c>
    </row>
    <row r="59" spans="1:15" ht="15.75" thickBot="1">
      <c r="A59" s="13" t="s">
        <v>381</v>
      </c>
      <c r="B59" s="67" t="s">
        <v>382</v>
      </c>
      <c r="C59" s="70" t="s">
        <v>97</v>
      </c>
      <c r="D59" s="69" t="s">
        <v>39</v>
      </c>
      <c r="E59" s="70" t="s">
        <v>40</v>
      </c>
      <c r="F59" s="69" t="s">
        <v>242</v>
      </c>
      <c r="G59" s="70" t="s">
        <v>383</v>
      </c>
      <c r="H59" s="69" t="s">
        <v>223</v>
      </c>
      <c r="I59" s="70" t="s">
        <v>658</v>
      </c>
      <c r="J59" s="69"/>
      <c r="K59" s="124" t="s">
        <v>234</v>
      </c>
      <c r="L59" s="85">
        <v>20</v>
      </c>
      <c r="M59" s="124" t="s">
        <v>221</v>
      </c>
      <c r="N59" s="85" t="s">
        <v>20</v>
      </c>
      <c r="O59" s="124" t="s">
        <v>40</v>
      </c>
    </row>
    <row r="60" spans="1:15" ht="15.75" thickBot="1">
      <c r="A60" s="13" t="s">
        <v>384</v>
      </c>
      <c r="B60" s="67" t="s">
        <v>385</v>
      </c>
      <c r="C60" s="70" t="s">
        <v>97</v>
      </c>
      <c r="D60" s="69" t="s">
        <v>12</v>
      </c>
      <c r="E60" s="70" t="s">
        <v>13</v>
      </c>
      <c r="F60" s="69" t="s">
        <v>242</v>
      </c>
      <c r="G60" s="70" t="s">
        <v>386</v>
      </c>
      <c r="H60" s="69" t="s">
        <v>14</v>
      </c>
      <c r="I60" s="70" t="s">
        <v>658</v>
      </c>
      <c r="J60" s="69"/>
      <c r="K60" s="124" t="s">
        <v>234</v>
      </c>
      <c r="L60" s="85">
        <v>104.4</v>
      </c>
      <c r="M60" s="124" t="s">
        <v>221</v>
      </c>
      <c r="N60" s="85" t="s">
        <v>20</v>
      </c>
      <c r="O60" s="124" t="s">
        <v>13</v>
      </c>
    </row>
    <row r="61" spans="1:15" ht="15.75" thickBot="1">
      <c r="A61" s="13" t="s">
        <v>117</v>
      </c>
      <c r="B61" s="67" t="s">
        <v>387</v>
      </c>
      <c r="C61" s="70" t="s">
        <v>118</v>
      </c>
      <c r="D61" s="69" t="s">
        <v>51</v>
      </c>
      <c r="E61" s="70" t="s">
        <v>40</v>
      </c>
      <c r="F61" s="69" t="s">
        <v>233</v>
      </c>
      <c r="G61" s="70" t="s">
        <v>253</v>
      </c>
      <c r="H61" s="69" t="s">
        <v>14</v>
      </c>
      <c r="I61" s="70" t="s">
        <v>256</v>
      </c>
      <c r="J61" s="69" t="s">
        <v>636</v>
      </c>
      <c r="K61" s="124" t="s">
        <v>233</v>
      </c>
      <c r="L61" s="85">
        <v>100</v>
      </c>
      <c r="M61" s="124" t="s">
        <v>221</v>
      </c>
      <c r="N61" s="85" t="s">
        <v>20</v>
      </c>
      <c r="O61" s="124" t="s">
        <v>40</v>
      </c>
    </row>
    <row r="62" spans="1:15" ht="15.75" thickBot="1">
      <c r="A62" s="13" t="s">
        <v>388</v>
      </c>
      <c r="B62" s="67" t="s">
        <v>389</v>
      </c>
      <c r="C62" s="70" t="s">
        <v>97</v>
      </c>
      <c r="D62" s="69" t="s">
        <v>15</v>
      </c>
      <c r="E62" s="70" t="s">
        <v>16</v>
      </c>
      <c r="F62" s="69" t="s">
        <v>242</v>
      </c>
      <c r="G62" s="70" t="s">
        <v>263</v>
      </c>
      <c r="H62" s="69" t="s">
        <v>10</v>
      </c>
      <c r="I62" s="70" t="s">
        <v>658</v>
      </c>
      <c r="J62" s="69"/>
      <c r="K62" s="124" t="s">
        <v>234</v>
      </c>
      <c r="L62" s="85">
        <v>1000</v>
      </c>
      <c r="M62" s="124" t="s">
        <v>221</v>
      </c>
      <c r="N62" s="85" t="s">
        <v>20</v>
      </c>
      <c r="O62" s="124" t="s">
        <v>15</v>
      </c>
    </row>
    <row r="63" spans="1:15" ht="15.75" thickBot="1">
      <c r="A63" s="13" t="s">
        <v>391</v>
      </c>
      <c r="B63" s="67" t="s">
        <v>392</v>
      </c>
      <c r="C63" s="70" t="s">
        <v>97</v>
      </c>
      <c r="D63" s="69" t="s">
        <v>39</v>
      </c>
      <c r="E63" s="70" t="s">
        <v>40</v>
      </c>
      <c r="F63" s="69" t="s">
        <v>242</v>
      </c>
      <c r="G63" s="70" t="s">
        <v>393</v>
      </c>
      <c r="H63" s="69" t="s">
        <v>223</v>
      </c>
      <c r="I63" s="70" t="s">
        <v>658</v>
      </c>
      <c r="J63" s="69"/>
      <c r="K63" s="124" t="s">
        <v>234</v>
      </c>
      <c r="L63" s="85">
        <v>29.9</v>
      </c>
      <c r="M63" s="124" t="s">
        <v>221</v>
      </c>
      <c r="N63" s="85" t="s">
        <v>20</v>
      </c>
      <c r="O63" s="124" t="s">
        <v>40</v>
      </c>
    </row>
    <row r="64" spans="1:15" ht="15.75" thickBot="1">
      <c r="A64" s="13" t="s">
        <v>394</v>
      </c>
      <c r="B64" s="67" t="s">
        <v>395</v>
      </c>
      <c r="C64" s="70" t="s">
        <v>127</v>
      </c>
      <c r="D64" s="69" t="s">
        <v>39</v>
      </c>
      <c r="E64" s="70" t="s">
        <v>40</v>
      </c>
      <c r="F64" s="69" t="s">
        <v>248</v>
      </c>
      <c r="G64" s="70" t="s">
        <v>396</v>
      </c>
      <c r="H64" s="69" t="s">
        <v>223</v>
      </c>
      <c r="I64" s="70" t="s">
        <v>339</v>
      </c>
      <c r="J64" s="69"/>
      <c r="K64" s="124" t="s">
        <v>234</v>
      </c>
      <c r="L64" s="85">
        <v>0.19872000000000001</v>
      </c>
      <c r="M64" s="124" t="s">
        <v>221</v>
      </c>
      <c r="N64" s="85" t="s">
        <v>20</v>
      </c>
      <c r="O64" s="124" t="s">
        <v>40</v>
      </c>
    </row>
    <row r="65" spans="1:15" ht="15.75" thickBot="1">
      <c r="A65" s="13" t="s">
        <v>397</v>
      </c>
      <c r="B65" s="67" t="s">
        <v>275</v>
      </c>
      <c r="C65" s="70" t="s">
        <v>398</v>
      </c>
      <c r="D65" s="69" t="s">
        <v>220</v>
      </c>
      <c r="E65" s="70" t="s">
        <v>220</v>
      </c>
      <c r="F65" s="69" t="s">
        <v>242</v>
      </c>
      <c r="G65" s="70" t="s">
        <v>220</v>
      </c>
      <c r="H65" s="69" t="s">
        <v>14</v>
      </c>
      <c r="I65" s="70" t="s">
        <v>658</v>
      </c>
      <c r="J65" s="69" t="s">
        <v>653</v>
      </c>
      <c r="K65" s="124" t="s">
        <v>234</v>
      </c>
      <c r="L65" s="85">
        <v>0</v>
      </c>
      <c r="M65" s="124" t="s">
        <v>222</v>
      </c>
      <c r="N65" s="85" t="s">
        <v>20</v>
      </c>
      <c r="O65" s="124" t="s">
        <v>13</v>
      </c>
    </row>
    <row r="66" spans="1:15" ht="15.75" thickBot="1">
      <c r="A66" s="13" t="s">
        <v>399</v>
      </c>
      <c r="B66" s="67" t="s">
        <v>271</v>
      </c>
      <c r="C66" s="70" t="s">
        <v>124</v>
      </c>
      <c r="D66" s="69" t="s">
        <v>51</v>
      </c>
      <c r="E66" s="70" t="s">
        <v>40</v>
      </c>
      <c r="F66" s="69" t="s">
        <v>242</v>
      </c>
      <c r="G66" s="70" t="s">
        <v>400</v>
      </c>
      <c r="H66" s="69" t="s">
        <v>14</v>
      </c>
      <c r="I66" s="70" t="s">
        <v>658</v>
      </c>
      <c r="J66" s="69" t="s">
        <v>637</v>
      </c>
      <c r="K66" s="124" t="s">
        <v>234</v>
      </c>
      <c r="L66" s="85">
        <v>26</v>
      </c>
      <c r="M66" s="124" t="s">
        <v>221</v>
      </c>
      <c r="N66" s="85" t="s">
        <v>20</v>
      </c>
      <c r="O66" s="124" t="s">
        <v>40</v>
      </c>
    </row>
    <row r="67" spans="1:15" ht="15.75" thickBot="1">
      <c r="A67" s="13" t="s">
        <v>401</v>
      </c>
      <c r="B67" s="67" t="s">
        <v>250</v>
      </c>
      <c r="C67" s="70" t="s">
        <v>251</v>
      </c>
      <c r="D67" s="69" t="s">
        <v>39</v>
      </c>
      <c r="E67" s="70" t="s">
        <v>40</v>
      </c>
      <c r="F67" s="69" t="s">
        <v>242</v>
      </c>
      <c r="G67" s="70" t="s">
        <v>262</v>
      </c>
      <c r="H67" s="69" t="s">
        <v>14</v>
      </c>
      <c r="I67" s="70" t="s">
        <v>658</v>
      </c>
      <c r="J67" s="69"/>
      <c r="K67" s="124" t="s">
        <v>234</v>
      </c>
      <c r="L67" s="85">
        <v>350</v>
      </c>
      <c r="M67" s="124" t="s">
        <v>221</v>
      </c>
      <c r="N67" s="85" t="s">
        <v>20</v>
      </c>
      <c r="O67" s="124" t="s">
        <v>40</v>
      </c>
    </row>
    <row r="68" spans="1:15" ht="15.75" thickBot="1">
      <c r="A68" s="13" t="s">
        <v>402</v>
      </c>
      <c r="B68" s="67" t="s">
        <v>268</v>
      </c>
      <c r="C68" s="70" t="s">
        <v>124</v>
      </c>
      <c r="D68" s="69" t="s">
        <v>39</v>
      </c>
      <c r="E68" s="70" t="s">
        <v>40</v>
      </c>
      <c r="F68" s="69" t="s">
        <v>242</v>
      </c>
      <c r="G68" s="70" t="s">
        <v>273</v>
      </c>
      <c r="H68" s="69" t="s">
        <v>14</v>
      </c>
      <c r="I68" s="70" t="s">
        <v>658</v>
      </c>
      <c r="J68" s="69"/>
      <c r="K68" s="124" t="s">
        <v>234</v>
      </c>
      <c r="L68" s="85">
        <v>60</v>
      </c>
      <c r="M68" s="124" t="s">
        <v>221</v>
      </c>
      <c r="N68" s="85" t="s">
        <v>20</v>
      </c>
      <c r="O68" s="124" t="s">
        <v>40</v>
      </c>
    </row>
    <row r="69" spans="1:15" ht="15.75" thickBot="1">
      <c r="A69" s="13" t="s">
        <v>119</v>
      </c>
      <c r="B69" s="67" t="s">
        <v>93</v>
      </c>
      <c r="C69" s="70" t="s">
        <v>120</v>
      </c>
      <c r="D69" s="69" t="s">
        <v>12</v>
      </c>
      <c r="E69" s="70" t="s">
        <v>13</v>
      </c>
      <c r="F69" s="69" t="s">
        <v>233</v>
      </c>
      <c r="G69" s="70" t="s">
        <v>403</v>
      </c>
      <c r="H69" s="69" t="s">
        <v>14</v>
      </c>
      <c r="I69" s="70" t="s">
        <v>256</v>
      </c>
      <c r="J69" s="69"/>
      <c r="K69" s="124" t="s">
        <v>233</v>
      </c>
      <c r="L69" s="85">
        <v>180.5</v>
      </c>
      <c r="M69" s="124" t="s">
        <v>221</v>
      </c>
      <c r="N69" s="85" t="s">
        <v>20</v>
      </c>
      <c r="O69" s="124" t="s">
        <v>13</v>
      </c>
    </row>
    <row r="70" spans="1:15" ht="15.75" thickBot="1">
      <c r="A70" s="13" t="s">
        <v>404</v>
      </c>
      <c r="B70" s="67" t="s">
        <v>405</v>
      </c>
      <c r="C70" s="70" t="s">
        <v>97</v>
      </c>
      <c r="D70" s="69" t="s">
        <v>28</v>
      </c>
      <c r="E70" s="70" t="s">
        <v>406</v>
      </c>
      <c r="F70" s="69" t="s">
        <v>242</v>
      </c>
      <c r="G70" s="70" t="s">
        <v>407</v>
      </c>
      <c r="H70" s="69" t="s">
        <v>10</v>
      </c>
      <c r="I70" s="70" t="s">
        <v>658</v>
      </c>
      <c r="J70" s="69"/>
      <c r="K70" s="124" t="s">
        <v>234</v>
      </c>
      <c r="L70" s="85">
        <v>7.6</v>
      </c>
      <c r="M70" s="124" t="s">
        <v>221</v>
      </c>
      <c r="N70" s="85" t="s">
        <v>20</v>
      </c>
      <c r="O70" s="124" t="s">
        <v>229</v>
      </c>
    </row>
    <row r="71" spans="1:15" ht="15.75" thickBot="1">
      <c r="A71" s="13" t="s">
        <v>716</v>
      </c>
      <c r="B71" s="67" t="s">
        <v>717</v>
      </c>
      <c r="C71" s="70" t="s">
        <v>220</v>
      </c>
      <c r="D71" s="69" t="s">
        <v>39</v>
      </c>
      <c r="E71" s="70" t="s">
        <v>40</v>
      </c>
      <c r="F71" s="69" t="s">
        <v>242</v>
      </c>
      <c r="G71" s="70" t="s">
        <v>247</v>
      </c>
      <c r="H71" s="69" t="s">
        <v>14</v>
      </c>
      <c r="I71" s="70"/>
      <c r="J71" s="69" t="s">
        <v>718</v>
      </c>
      <c r="K71" s="124" t="s">
        <v>234</v>
      </c>
      <c r="L71" s="85">
        <v>120</v>
      </c>
      <c r="M71" s="124" t="s">
        <v>221</v>
      </c>
      <c r="N71" s="85" t="s">
        <v>20</v>
      </c>
      <c r="O71" s="124" t="s">
        <v>40</v>
      </c>
    </row>
    <row r="72" spans="1:15" ht="15.75" thickBot="1">
      <c r="A72" s="13" t="s">
        <v>408</v>
      </c>
      <c r="B72" s="67" t="s">
        <v>409</v>
      </c>
      <c r="C72" s="70" t="s">
        <v>410</v>
      </c>
      <c r="D72" s="69" t="s">
        <v>28</v>
      </c>
      <c r="E72" s="70" t="s">
        <v>140</v>
      </c>
      <c r="F72" s="69" t="s">
        <v>248</v>
      </c>
      <c r="G72" s="70" t="s">
        <v>411</v>
      </c>
      <c r="H72" s="69" t="s">
        <v>10</v>
      </c>
      <c r="I72" s="70" t="s">
        <v>257</v>
      </c>
      <c r="J72" s="69" t="s">
        <v>638</v>
      </c>
      <c r="K72" s="124" t="s">
        <v>234</v>
      </c>
      <c r="L72" s="85">
        <v>150</v>
      </c>
      <c r="M72" s="124" t="s">
        <v>221</v>
      </c>
      <c r="N72" s="85" t="s">
        <v>20</v>
      </c>
      <c r="O72" s="124" t="s">
        <v>229</v>
      </c>
    </row>
    <row r="73" spans="1:15" ht="15.75" thickBot="1">
      <c r="A73" s="13" t="s">
        <v>412</v>
      </c>
      <c r="B73" s="67" t="s">
        <v>413</v>
      </c>
      <c r="C73" s="70" t="s">
        <v>97</v>
      </c>
      <c r="D73" s="69" t="s">
        <v>39</v>
      </c>
      <c r="E73" s="70" t="s">
        <v>40</v>
      </c>
      <c r="F73" s="69" t="s">
        <v>242</v>
      </c>
      <c r="G73" s="70" t="s">
        <v>254</v>
      </c>
      <c r="H73" s="69" t="s">
        <v>14</v>
      </c>
      <c r="I73" s="70" t="s">
        <v>658</v>
      </c>
      <c r="J73" s="69"/>
      <c r="K73" s="124" t="s">
        <v>234</v>
      </c>
      <c r="L73" s="85">
        <v>50</v>
      </c>
      <c r="M73" s="124" t="s">
        <v>221</v>
      </c>
      <c r="N73" s="85" t="s">
        <v>20</v>
      </c>
      <c r="O73" s="124" t="s">
        <v>40</v>
      </c>
    </row>
    <row r="74" spans="1:15" ht="15.75" thickBot="1">
      <c r="A74" s="13" t="s">
        <v>121</v>
      </c>
      <c r="B74" s="67" t="s">
        <v>414</v>
      </c>
      <c r="C74" s="70" t="s">
        <v>122</v>
      </c>
      <c r="D74" s="69" t="s">
        <v>220</v>
      </c>
      <c r="E74" s="70" t="s">
        <v>40</v>
      </c>
      <c r="F74" s="69" t="s">
        <v>233</v>
      </c>
      <c r="G74" s="70" t="s">
        <v>269</v>
      </c>
      <c r="H74" s="69" t="s">
        <v>14</v>
      </c>
      <c r="I74" s="70" t="s">
        <v>256</v>
      </c>
      <c r="J74" s="69"/>
      <c r="K74" s="124" t="s">
        <v>233</v>
      </c>
      <c r="L74" s="85">
        <v>55</v>
      </c>
      <c r="M74" s="124" t="s">
        <v>221</v>
      </c>
      <c r="N74" s="85" t="s">
        <v>20</v>
      </c>
      <c r="O74" s="124" t="s">
        <v>40</v>
      </c>
    </row>
    <row r="75" spans="1:15" ht="15.75" thickBot="1">
      <c r="A75" s="13" t="s">
        <v>123</v>
      </c>
      <c r="B75" s="67" t="s">
        <v>415</v>
      </c>
      <c r="C75" s="70" t="s">
        <v>97</v>
      </c>
      <c r="D75" s="69" t="s">
        <v>39</v>
      </c>
      <c r="E75" s="70" t="s">
        <v>40</v>
      </c>
      <c r="F75" s="69" t="s">
        <v>243</v>
      </c>
      <c r="G75" s="70" t="s">
        <v>264</v>
      </c>
      <c r="H75" s="69" t="s">
        <v>14</v>
      </c>
      <c r="I75" s="70" t="s">
        <v>314</v>
      </c>
      <c r="J75" s="69"/>
      <c r="K75" s="124" t="s">
        <v>233</v>
      </c>
      <c r="L75" s="85">
        <v>25</v>
      </c>
      <c r="M75" s="124" t="s">
        <v>221</v>
      </c>
      <c r="N75" s="85" t="s">
        <v>20</v>
      </c>
      <c r="O75" s="124" t="s">
        <v>40</v>
      </c>
    </row>
    <row r="76" spans="1:15" ht="15.75" thickBot="1">
      <c r="A76" s="13" t="s">
        <v>614</v>
      </c>
      <c r="B76" s="67" t="s">
        <v>291</v>
      </c>
      <c r="C76" s="70" t="s">
        <v>686</v>
      </c>
      <c r="D76" s="69" t="s">
        <v>220</v>
      </c>
      <c r="E76" s="70" t="s">
        <v>40</v>
      </c>
      <c r="F76" s="69" t="s">
        <v>242</v>
      </c>
      <c r="G76" s="70" t="s">
        <v>687</v>
      </c>
      <c r="H76" s="69" t="s">
        <v>14</v>
      </c>
      <c r="I76" s="70" t="s">
        <v>658</v>
      </c>
      <c r="J76" s="69"/>
      <c r="K76" s="124" t="s">
        <v>234</v>
      </c>
      <c r="L76" s="85">
        <v>240</v>
      </c>
      <c r="M76" s="124" t="s">
        <v>221</v>
      </c>
      <c r="N76" s="85" t="s">
        <v>20</v>
      </c>
      <c r="O76" s="124" t="s">
        <v>40</v>
      </c>
    </row>
    <row r="77" spans="1:15" ht="15.75" thickBot="1">
      <c r="A77" s="13" t="s">
        <v>416</v>
      </c>
      <c r="B77" s="67" t="s">
        <v>246</v>
      </c>
      <c r="C77" s="70" t="s">
        <v>97</v>
      </c>
      <c r="D77" s="69" t="s">
        <v>51</v>
      </c>
      <c r="E77" s="70" t="s">
        <v>40</v>
      </c>
      <c r="F77" s="69" t="s">
        <v>242</v>
      </c>
      <c r="G77" s="70" t="s">
        <v>260</v>
      </c>
      <c r="H77" s="69" t="s">
        <v>223</v>
      </c>
      <c r="I77" s="70" t="s">
        <v>658</v>
      </c>
      <c r="J77" s="69"/>
      <c r="K77" s="124" t="s">
        <v>234</v>
      </c>
      <c r="L77" s="85">
        <v>300</v>
      </c>
      <c r="M77" s="124" t="s">
        <v>221</v>
      </c>
      <c r="N77" s="85" t="s">
        <v>20</v>
      </c>
      <c r="O77" s="124" t="s">
        <v>40</v>
      </c>
    </row>
    <row r="78" spans="1:15" ht="15.75" thickBot="1">
      <c r="A78" s="13" t="s">
        <v>667</v>
      </c>
      <c r="B78" s="67" t="s">
        <v>668</v>
      </c>
      <c r="C78" s="70" t="s">
        <v>220</v>
      </c>
      <c r="D78" s="69" t="s">
        <v>39</v>
      </c>
      <c r="E78" s="70" t="s">
        <v>40</v>
      </c>
      <c r="F78" s="69" t="s">
        <v>242</v>
      </c>
      <c r="G78" s="70" t="s">
        <v>258</v>
      </c>
      <c r="H78" s="69" t="s">
        <v>14</v>
      </c>
      <c r="I78" s="70" t="s">
        <v>658</v>
      </c>
      <c r="J78" s="69" t="s">
        <v>669</v>
      </c>
      <c r="K78" s="124" t="s">
        <v>234</v>
      </c>
      <c r="L78" s="85">
        <v>90</v>
      </c>
      <c r="M78" s="124" t="s">
        <v>221</v>
      </c>
      <c r="N78" s="85" t="s">
        <v>20</v>
      </c>
      <c r="O78" s="124" t="s">
        <v>40</v>
      </c>
    </row>
    <row r="79" spans="1:15" ht="15.75" thickBot="1">
      <c r="A79" s="13" t="s">
        <v>417</v>
      </c>
      <c r="B79" s="67" t="s">
        <v>268</v>
      </c>
      <c r="C79" s="70" t="s">
        <v>124</v>
      </c>
      <c r="D79" s="69" t="s">
        <v>39</v>
      </c>
      <c r="E79" s="70" t="s">
        <v>40</v>
      </c>
      <c r="F79" s="69" t="s">
        <v>242</v>
      </c>
      <c r="G79" s="70" t="s">
        <v>261</v>
      </c>
      <c r="H79" s="69" t="s">
        <v>14</v>
      </c>
      <c r="I79" s="70" t="s">
        <v>658</v>
      </c>
      <c r="J79" s="69"/>
      <c r="K79" s="124" t="s">
        <v>234</v>
      </c>
      <c r="L79" s="85">
        <v>110</v>
      </c>
      <c r="M79" s="124" t="s">
        <v>221</v>
      </c>
      <c r="N79" s="85" t="s">
        <v>20</v>
      </c>
      <c r="O79" s="124" t="s">
        <v>40</v>
      </c>
    </row>
    <row r="80" spans="1:15" ht="15.75" thickBot="1">
      <c r="A80" s="13" t="s">
        <v>419</v>
      </c>
      <c r="B80" s="67" t="s">
        <v>420</v>
      </c>
      <c r="C80" s="70" t="s">
        <v>97</v>
      </c>
      <c r="D80" s="69" t="s">
        <v>51</v>
      </c>
      <c r="E80" s="70" t="s">
        <v>40</v>
      </c>
      <c r="F80" s="69" t="s">
        <v>243</v>
      </c>
      <c r="G80" s="70" t="s">
        <v>421</v>
      </c>
      <c r="H80" s="69" t="s">
        <v>14</v>
      </c>
      <c r="I80" s="70" t="s">
        <v>761</v>
      </c>
      <c r="J80" s="69" t="s">
        <v>756</v>
      </c>
      <c r="K80" s="124" t="s">
        <v>233</v>
      </c>
      <c r="L80" s="85">
        <v>65</v>
      </c>
      <c r="M80" s="124" t="s">
        <v>221</v>
      </c>
      <c r="N80" s="85" t="s">
        <v>20</v>
      </c>
      <c r="O80" s="124" t="s">
        <v>40</v>
      </c>
    </row>
    <row r="81" spans="1:15" ht="15.75" thickBot="1">
      <c r="A81" s="13" t="s">
        <v>615</v>
      </c>
      <c r="B81" s="67" t="s">
        <v>169</v>
      </c>
      <c r="C81" s="70" t="s">
        <v>688</v>
      </c>
      <c r="D81" s="69" t="s">
        <v>28</v>
      </c>
      <c r="E81" s="70" t="s">
        <v>140</v>
      </c>
      <c r="F81" s="69" t="s">
        <v>242</v>
      </c>
      <c r="G81" s="70" t="s">
        <v>689</v>
      </c>
      <c r="H81" s="69" t="s">
        <v>223</v>
      </c>
      <c r="I81" s="70" t="s">
        <v>658</v>
      </c>
      <c r="J81" s="69"/>
      <c r="K81" s="124" t="s">
        <v>234</v>
      </c>
      <c r="L81" s="85">
        <v>32</v>
      </c>
      <c r="M81" s="124" t="s">
        <v>221</v>
      </c>
      <c r="N81" s="85" t="s">
        <v>20</v>
      </c>
      <c r="O81" s="124" t="s">
        <v>229</v>
      </c>
    </row>
    <row r="82" spans="1:15" ht="15.75" thickBot="1">
      <c r="A82" s="13" t="s">
        <v>423</v>
      </c>
      <c r="B82" s="67" t="s">
        <v>424</v>
      </c>
      <c r="C82" s="70" t="s">
        <v>97</v>
      </c>
      <c r="D82" s="69" t="s">
        <v>51</v>
      </c>
      <c r="E82" s="70" t="s">
        <v>40</v>
      </c>
      <c r="F82" s="69" t="s">
        <v>243</v>
      </c>
      <c r="G82" s="70" t="s">
        <v>126</v>
      </c>
      <c r="H82" s="69" t="s">
        <v>14</v>
      </c>
      <c r="I82" s="70" t="s">
        <v>648</v>
      </c>
      <c r="J82" s="69"/>
      <c r="K82" s="124" t="s">
        <v>233</v>
      </c>
      <c r="L82" s="85">
        <v>75</v>
      </c>
      <c r="M82" s="124" t="s">
        <v>221</v>
      </c>
      <c r="N82" s="85" t="s">
        <v>20</v>
      </c>
      <c r="O82" s="124" t="s">
        <v>40</v>
      </c>
    </row>
    <row r="83" spans="1:15" ht="15.75" thickBot="1">
      <c r="A83" s="13" t="s">
        <v>425</v>
      </c>
      <c r="B83" s="67" t="s">
        <v>169</v>
      </c>
      <c r="C83" s="70" t="s">
        <v>98</v>
      </c>
      <c r="D83" s="69" t="s">
        <v>28</v>
      </c>
      <c r="E83" s="70" t="s">
        <v>140</v>
      </c>
      <c r="F83" s="69" t="s">
        <v>243</v>
      </c>
      <c r="G83" s="70" t="s">
        <v>426</v>
      </c>
      <c r="H83" s="69" t="s">
        <v>223</v>
      </c>
      <c r="I83" s="70" t="s">
        <v>256</v>
      </c>
      <c r="J83" s="69" t="s">
        <v>639</v>
      </c>
      <c r="K83" s="124" t="s">
        <v>233</v>
      </c>
      <c r="L83" s="85">
        <v>24</v>
      </c>
      <c r="M83" s="124" t="s">
        <v>221</v>
      </c>
      <c r="N83" s="85" t="s">
        <v>20</v>
      </c>
      <c r="O83" s="124" t="s">
        <v>229</v>
      </c>
    </row>
    <row r="84" spans="1:15" ht="15.75" thickBot="1">
      <c r="A84" s="13" t="s">
        <v>427</v>
      </c>
      <c r="B84" s="67" t="s">
        <v>428</v>
      </c>
      <c r="C84" s="70" t="s">
        <v>429</v>
      </c>
      <c r="D84" s="69" t="s">
        <v>39</v>
      </c>
      <c r="E84" s="70" t="s">
        <v>40</v>
      </c>
      <c r="F84" s="69" t="s">
        <v>243</v>
      </c>
      <c r="G84" s="70" t="s">
        <v>430</v>
      </c>
      <c r="H84" s="69" t="s">
        <v>14</v>
      </c>
      <c r="I84" s="70" t="s">
        <v>431</v>
      </c>
      <c r="J84" s="69" t="s">
        <v>640</v>
      </c>
      <c r="K84" s="124" t="s">
        <v>233</v>
      </c>
      <c r="L84" s="85">
        <v>52.5</v>
      </c>
      <c r="M84" s="124" t="s">
        <v>221</v>
      </c>
      <c r="N84" s="85" t="s">
        <v>20</v>
      </c>
      <c r="O84" s="124" t="s">
        <v>40</v>
      </c>
    </row>
    <row r="85" spans="1:15" ht="15.75" thickBot="1">
      <c r="A85" s="13" t="s">
        <v>432</v>
      </c>
      <c r="B85" s="67" t="s">
        <v>287</v>
      </c>
      <c r="C85" s="70" t="s">
        <v>433</v>
      </c>
      <c r="D85" s="69" t="s">
        <v>39</v>
      </c>
      <c r="E85" s="70" t="s">
        <v>40</v>
      </c>
      <c r="F85" s="69" t="s">
        <v>242</v>
      </c>
      <c r="G85" s="70" t="s">
        <v>220</v>
      </c>
      <c r="H85" s="69" t="s">
        <v>14</v>
      </c>
      <c r="I85" s="70" t="s">
        <v>658</v>
      </c>
      <c r="J85" s="69" t="s">
        <v>641</v>
      </c>
      <c r="K85" s="124" t="s">
        <v>234</v>
      </c>
      <c r="L85" s="85">
        <v>0</v>
      </c>
      <c r="M85" s="124" t="s">
        <v>222</v>
      </c>
      <c r="N85" s="85" t="s">
        <v>20</v>
      </c>
      <c r="O85" s="124" t="s">
        <v>40</v>
      </c>
    </row>
    <row r="86" spans="1:15" ht="15.75" thickBot="1">
      <c r="A86" s="13" t="s">
        <v>434</v>
      </c>
      <c r="B86" s="67" t="s">
        <v>435</v>
      </c>
      <c r="C86" s="70" t="s">
        <v>124</v>
      </c>
      <c r="D86" s="69" t="s">
        <v>39</v>
      </c>
      <c r="E86" s="70" t="s">
        <v>40</v>
      </c>
      <c r="F86" s="69" t="s">
        <v>242</v>
      </c>
      <c r="G86" s="70" t="s">
        <v>436</v>
      </c>
      <c r="H86" s="69" t="s">
        <v>14</v>
      </c>
      <c r="I86" s="70" t="s">
        <v>658</v>
      </c>
      <c r="J86" s="69"/>
      <c r="K86" s="124" t="s">
        <v>234</v>
      </c>
      <c r="L86" s="85">
        <v>650</v>
      </c>
      <c r="M86" s="124" t="s">
        <v>221</v>
      </c>
      <c r="N86" s="85" t="s">
        <v>20</v>
      </c>
      <c r="O86" s="124" t="s">
        <v>40</v>
      </c>
    </row>
    <row r="87" spans="1:15" ht="15.75" thickBot="1">
      <c r="A87" s="13" t="s">
        <v>437</v>
      </c>
      <c r="B87" s="67" t="s">
        <v>438</v>
      </c>
      <c r="C87" s="70" t="s">
        <v>439</v>
      </c>
      <c r="D87" s="69" t="s">
        <v>51</v>
      </c>
      <c r="E87" s="70" t="s">
        <v>40</v>
      </c>
      <c r="F87" s="69" t="s">
        <v>242</v>
      </c>
      <c r="G87" s="70" t="s">
        <v>220</v>
      </c>
      <c r="H87" s="69" t="s">
        <v>14</v>
      </c>
      <c r="I87" s="70" t="s">
        <v>658</v>
      </c>
      <c r="J87" s="69" t="s">
        <v>642</v>
      </c>
      <c r="K87" s="124" t="s">
        <v>234</v>
      </c>
      <c r="L87" s="85">
        <v>0</v>
      </c>
      <c r="M87" s="124" t="s">
        <v>222</v>
      </c>
      <c r="N87" s="85" t="s">
        <v>20</v>
      </c>
      <c r="O87" s="124" t="s">
        <v>40</v>
      </c>
    </row>
    <row r="88" spans="1:15" ht="15.75" thickBot="1">
      <c r="A88" s="13" t="s">
        <v>440</v>
      </c>
      <c r="B88" s="67" t="s">
        <v>438</v>
      </c>
      <c r="C88" s="70" t="s">
        <v>439</v>
      </c>
      <c r="D88" s="69" t="s">
        <v>51</v>
      </c>
      <c r="E88" s="70" t="s">
        <v>40</v>
      </c>
      <c r="F88" s="69" t="s">
        <v>242</v>
      </c>
      <c r="G88" s="70" t="s">
        <v>441</v>
      </c>
      <c r="H88" s="69" t="s">
        <v>14</v>
      </c>
      <c r="I88" s="70" t="s">
        <v>658</v>
      </c>
      <c r="J88" s="69" t="s">
        <v>642</v>
      </c>
      <c r="K88" s="124" t="s">
        <v>234</v>
      </c>
      <c r="L88" s="85">
        <v>32.1</v>
      </c>
      <c r="M88" s="124" t="s">
        <v>221</v>
      </c>
      <c r="N88" s="85" t="s">
        <v>20</v>
      </c>
      <c r="O88" s="124" t="s">
        <v>40</v>
      </c>
    </row>
    <row r="89" spans="1:15" ht="15.75" thickBot="1">
      <c r="A89" s="13" t="s">
        <v>442</v>
      </c>
      <c r="B89" s="67" t="s">
        <v>255</v>
      </c>
      <c r="C89" s="70" t="s">
        <v>97</v>
      </c>
      <c r="D89" s="69" t="s">
        <v>39</v>
      </c>
      <c r="E89" s="70" t="s">
        <v>40</v>
      </c>
      <c r="F89" s="69" t="s">
        <v>242</v>
      </c>
      <c r="G89" s="70" t="s">
        <v>267</v>
      </c>
      <c r="H89" s="69" t="s">
        <v>14</v>
      </c>
      <c r="I89" s="70" t="s">
        <v>658</v>
      </c>
      <c r="J89" s="69"/>
      <c r="K89" s="124" t="s">
        <v>234</v>
      </c>
      <c r="L89" s="85">
        <v>500</v>
      </c>
      <c r="M89" s="124" t="s">
        <v>221</v>
      </c>
      <c r="N89" s="85" t="s">
        <v>20</v>
      </c>
      <c r="O89" s="124" t="s">
        <v>40</v>
      </c>
    </row>
    <row r="90" spans="1:15" ht="15.75" thickBot="1">
      <c r="A90" s="13" t="s">
        <v>443</v>
      </c>
      <c r="B90" s="67" t="s">
        <v>327</v>
      </c>
      <c r="C90" s="70" t="s">
        <v>433</v>
      </c>
      <c r="D90" s="69" t="s">
        <v>51</v>
      </c>
      <c r="E90" s="70" t="s">
        <v>40</v>
      </c>
      <c r="F90" s="69" t="s">
        <v>242</v>
      </c>
      <c r="G90" s="70" t="s">
        <v>265</v>
      </c>
      <c r="H90" s="69" t="s">
        <v>14</v>
      </c>
      <c r="I90" s="70" t="s">
        <v>444</v>
      </c>
      <c r="J90" s="69"/>
      <c r="K90" s="124" t="s">
        <v>234</v>
      </c>
      <c r="L90" s="85">
        <v>250</v>
      </c>
      <c r="M90" s="124" t="s">
        <v>221</v>
      </c>
      <c r="N90" s="85" t="s">
        <v>20</v>
      </c>
      <c r="O90" s="124" t="s">
        <v>40</v>
      </c>
    </row>
    <row r="91" spans="1:15" ht="15.75" thickBot="1">
      <c r="A91" s="13" t="s">
        <v>128</v>
      </c>
      <c r="B91" s="67" t="s">
        <v>445</v>
      </c>
      <c r="C91" s="70" t="s">
        <v>97</v>
      </c>
      <c r="D91" s="69" t="s">
        <v>39</v>
      </c>
      <c r="E91" s="70" t="s">
        <v>40</v>
      </c>
      <c r="F91" s="69" t="s">
        <v>233</v>
      </c>
      <c r="G91" s="70" t="s">
        <v>354</v>
      </c>
      <c r="H91" s="69" t="s">
        <v>14</v>
      </c>
      <c r="I91" s="70" t="s">
        <v>649</v>
      </c>
      <c r="J91" s="69" t="s">
        <v>653</v>
      </c>
      <c r="K91" s="86" t="s">
        <v>233</v>
      </c>
      <c r="L91" s="85">
        <v>57.5</v>
      </c>
      <c r="M91" s="86" t="s">
        <v>221</v>
      </c>
      <c r="N91" s="85" t="s">
        <v>20</v>
      </c>
      <c r="O91" s="86" t="s">
        <v>40</v>
      </c>
    </row>
    <row r="92" spans="1:15" ht="15.75" thickBot="1">
      <c r="A92" s="13" t="s">
        <v>446</v>
      </c>
      <c r="B92" s="67" t="s">
        <v>93</v>
      </c>
      <c r="C92" s="70" t="s">
        <v>129</v>
      </c>
      <c r="D92" s="69" t="s">
        <v>12</v>
      </c>
      <c r="E92" s="70" t="s">
        <v>13</v>
      </c>
      <c r="F92" s="69" t="s">
        <v>242</v>
      </c>
      <c r="G92" s="70" t="s">
        <v>447</v>
      </c>
      <c r="H92" s="69" t="s">
        <v>223</v>
      </c>
      <c r="I92" s="70" t="s">
        <v>448</v>
      </c>
      <c r="J92" s="69"/>
      <c r="K92" s="86" t="s">
        <v>234</v>
      </c>
      <c r="L92" s="85">
        <v>30</v>
      </c>
      <c r="M92" s="86" t="s">
        <v>221</v>
      </c>
      <c r="N92" s="85" t="s">
        <v>20</v>
      </c>
      <c r="O92" s="86" t="s">
        <v>13</v>
      </c>
    </row>
    <row r="93" spans="1:15" ht="15.75" thickBot="1">
      <c r="A93" s="13" t="s">
        <v>757</v>
      </c>
      <c r="B93" s="67" t="s">
        <v>220</v>
      </c>
      <c r="C93" s="70" t="s">
        <v>758</v>
      </c>
      <c r="D93" s="69" t="s">
        <v>39</v>
      </c>
      <c r="E93" s="70" t="s">
        <v>40</v>
      </c>
      <c r="F93" s="69" t="s">
        <v>242</v>
      </c>
      <c r="G93" s="70" t="s">
        <v>758</v>
      </c>
      <c r="H93" s="69" t="s">
        <v>14</v>
      </c>
      <c r="I93" s="70" t="s">
        <v>270</v>
      </c>
      <c r="J93" s="69" t="s">
        <v>759</v>
      </c>
      <c r="K93" s="86" t="s">
        <v>234</v>
      </c>
      <c r="L93" s="85">
        <v>185</v>
      </c>
      <c r="M93" s="86" t="s">
        <v>221</v>
      </c>
      <c r="N93" s="85" t="s">
        <v>20</v>
      </c>
      <c r="O93" s="86" t="s">
        <v>40</v>
      </c>
    </row>
    <row r="94" spans="1:15" ht="15.75" thickBot="1">
      <c r="A94" s="13" t="s">
        <v>449</v>
      </c>
      <c r="B94" s="67" t="s">
        <v>450</v>
      </c>
      <c r="C94" s="70" t="s">
        <v>97</v>
      </c>
      <c r="D94" s="69" t="s">
        <v>39</v>
      </c>
      <c r="E94" s="70" t="s">
        <v>40</v>
      </c>
      <c r="F94" s="69" t="s">
        <v>243</v>
      </c>
      <c r="G94" s="70" t="s">
        <v>451</v>
      </c>
      <c r="H94" s="69" t="s">
        <v>14</v>
      </c>
      <c r="I94" s="70" t="s">
        <v>452</v>
      </c>
      <c r="J94" s="69" t="s">
        <v>643</v>
      </c>
      <c r="K94" s="86" t="s">
        <v>233</v>
      </c>
      <c r="L94" s="85">
        <v>102.5</v>
      </c>
      <c r="M94" s="86" t="s">
        <v>221</v>
      </c>
      <c r="N94" s="85" t="s">
        <v>20</v>
      </c>
      <c r="O94" s="86" t="s">
        <v>40</v>
      </c>
    </row>
    <row r="95" spans="1:15">
      <c r="A95" s="135" t="s">
        <v>453</v>
      </c>
      <c r="B95" s="136" t="s">
        <v>250</v>
      </c>
      <c r="C95" s="137" t="s">
        <v>251</v>
      </c>
      <c r="D95" s="138" t="s">
        <v>39</v>
      </c>
      <c r="E95" s="137" t="s">
        <v>40</v>
      </c>
      <c r="F95" s="138" t="s">
        <v>242</v>
      </c>
      <c r="G95" s="137" t="s">
        <v>260</v>
      </c>
      <c r="H95" s="138" t="s">
        <v>14</v>
      </c>
      <c r="I95" s="137" t="s">
        <v>658</v>
      </c>
      <c r="J95" s="138"/>
      <c r="K95" s="86" t="s">
        <v>234</v>
      </c>
      <c r="L95" s="85">
        <v>300</v>
      </c>
      <c r="M95" s="86" t="s">
        <v>221</v>
      </c>
      <c r="N95" s="85" t="s">
        <v>20</v>
      </c>
      <c r="O95" s="86" t="s">
        <v>40</v>
      </c>
    </row>
    <row r="97" spans="1:10">
      <c r="A97" s="157" t="s">
        <v>768</v>
      </c>
      <c r="B97" s="158"/>
      <c r="C97" s="158"/>
      <c r="D97" s="158"/>
      <c r="E97" s="158"/>
      <c r="F97" s="158"/>
      <c r="G97" s="158"/>
      <c r="H97" s="158"/>
      <c r="I97" s="158"/>
      <c r="J97" s="158"/>
    </row>
  </sheetData>
  <mergeCells count="1">
    <mergeCell ref="A97:J97"/>
  </mergeCells>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56D60-D6E2-4B7F-AF49-F8312602B7CB}">
  <dimension ref="B1:M47"/>
  <sheetViews>
    <sheetView workbookViewId="0"/>
  </sheetViews>
  <sheetFormatPr defaultColWidth="9.140625" defaultRowHeight="15"/>
  <cols>
    <col min="1" max="1" width="2.140625" style="105" customWidth="1"/>
    <col min="2" max="2" width="23.140625" style="105" customWidth="1"/>
    <col min="3" max="3" width="11.140625" style="105" bestFit="1" customWidth="1"/>
    <col min="4" max="11" width="10.140625" style="105" customWidth="1"/>
    <col min="12" max="12" width="9.140625" style="105"/>
    <col min="13" max="13" width="11.42578125" style="105" customWidth="1"/>
    <col min="14" max="16384" width="9.140625" style="105"/>
  </cols>
  <sheetData>
    <row r="1" spans="2:11" ht="19.5">
      <c r="B1" s="104" t="s">
        <v>654</v>
      </c>
    </row>
    <row r="2" spans="2:11" ht="36.75" customHeight="1">
      <c r="B2" s="159" t="s">
        <v>690</v>
      </c>
      <c r="C2" s="159"/>
      <c r="D2" s="159"/>
      <c r="E2" s="159"/>
      <c r="F2" s="159"/>
      <c r="G2" s="159"/>
      <c r="H2" s="159"/>
      <c r="I2" s="159"/>
      <c r="J2" s="159"/>
      <c r="K2" s="159"/>
    </row>
    <row r="3" spans="2:11" ht="35.25" customHeight="1">
      <c r="B3" s="159" t="s">
        <v>691</v>
      </c>
      <c r="C3" s="159"/>
      <c r="D3" s="159"/>
      <c r="E3" s="159"/>
      <c r="F3" s="159"/>
      <c r="G3" s="159"/>
      <c r="H3" s="159"/>
      <c r="I3" s="159"/>
      <c r="J3" s="159"/>
      <c r="K3" s="159"/>
    </row>
    <row r="4" spans="2:11" ht="14.25" customHeight="1">
      <c r="B4" s="160" t="s">
        <v>692</v>
      </c>
      <c r="C4" s="160"/>
      <c r="D4" s="160"/>
      <c r="E4" s="160"/>
      <c r="F4" s="160"/>
      <c r="G4" s="160"/>
      <c r="H4" s="160"/>
      <c r="I4" s="160"/>
      <c r="J4" s="160"/>
      <c r="K4" s="160"/>
    </row>
    <row r="5" spans="2:11" ht="39" customHeight="1">
      <c r="B5" s="161" t="s">
        <v>693</v>
      </c>
      <c r="C5" s="161"/>
      <c r="D5" s="161"/>
      <c r="E5" s="161"/>
      <c r="F5" s="161"/>
      <c r="G5" s="161"/>
      <c r="H5" s="161"/>
      <c r="I5" s="161"/>
      <c r="J5" s="161"/>
      <c r="K5" s="161"/>
    </row>
    <row r="6" spans="2:11" ht="13.5" customHeight="1">
      <c r="B6" s="106"/>
      <c r="C6" s="106"/>
      <c r="D6" s="106"/>
      <c r="E6" s="106"/>
      <c r="F6" s="106"/>
      <c r="G6" s="106"/>
      <c r="H6" s="106"/>
      <c r="I6" s="106"/>
      <c r="J6" s="106"/>
      <c r="K6" s="106"/>
    </row>
    <row r="7" spans="2:11" ht="49.5" customHeight="1">
      <c r="B7" s="160" t="s">
        <v>702</v>
      </c>
      <c r="C7" s="160"/>
      <c r="D7" s="160"/>
      <c r="E7" s="160"/>
      <c r="F7" s="160"/>
      <c r="G7" s="160"/>
      <c r="H7" s="160"/>
      <c r="I7" s="160"/>
      <c r="J7" s="160"/>
      <c r="K7" s="160"/>
    </row>
    <row r="8" spans="2:11" ht="13.5" customHeight="1">
      <c r="B8" s="106"/>
      <c r="C8" s="106"/>
      <c r="D8" s="106"/>
      <c r="E8" s="106"/>
      <c r="F8" s="106"/>
      <c r="G8" s="106"/>
      <c r="H8" s="106"/>
      <c r="I8" s="106"/>
      <c r="J8" s="106"/>
      <c r="K8" s="106"/>
    </row>
    <row r="9" spans="2:11">
      <c r="B9" s="108" t="s">
        <v>534</v>
      </c>
    </row>
    <row r="10" spans="2:11" ht="28.5" customHeight="1">
      <c r="B10" s="159" t="s">
        <v>535</v>
      </c>
      <c r="C10" s="159"/>
      <c r="D10" s="159"/>
      <c r="E10" s="159"/>
      <c r="F10" s="159"/>
      <c r="G10" s="159"/>
      <c r="H10" s="159"/>
      <c r="I10" s="159"/>
      <c r="J10" s="159"/>
      <c r="K10" s="159"/>
    </row>
    <row r="11" spans="2:11" ht="39" customHeight="1">
      <c r="B11" s="159" t="s">
        <v>536</v>
      </c>
      <c r="C11" s="159"/>
      <c r="D11" s="159"/>
      <c r="E11" s="159"/>
      <c r="F11" s="159"/>
      <c r="G11" s="159"/>
      <c r="H11" s="159"/>
      <c r="I11" s="159"/>
      <c r="J11" s="159"/>
      <c r="K11" s="159"/>
    </row>
    <row r="12" spans="2:11" ht="15.75" customHeight="1">
      <c r="B12" s="107" t="s">
        <v>537</v>
      </c>
    </row>
    <row r="13" spans="2:11" ht="27" customHeight="1">
      <c r="B13" s="164" t="s">
        <v>655</v>
      </c>
      <c r="C13" s="165"/>
      <c r="D13" s="165"/>
      <c r="E13" s="165"/>
      <c r="F13" s="165"/>
      <c r="G13" s="165"/>
      <c r="H13" s="165"/>
      <c r="I13" s="165"/>
      <c r="J13" s="165"/>
      <c r="K13" s="165"/>
    </row>
    <row r="14" spans="2:11" ht="49.5" customHeight="1">
      <c r="B14" s="165" t="s">
        <v>538</v>
      </c>
      <c r="C14" s="165"/>
      <c r="D14" s="165"/>
      <c r="E14" s="165"/>
      <c r="F14" s="165"/>
      <c r="G14" s="165"/>
      <c r="H14" s="165"/>
      <c r="I14" s="165"/>
      <c r="J14" s="165"/>
      <c r="K14" s="165"/>
    </row>
    <row r="15" spans="2:11">
      <c r="B15" s="109"/>
    </row>
    <row r="16" spans="2:11">
      <c r="B16" s="110" t="s">
        <v>539</v>
      </c>
    </row>
    <row r="17" spans="2:12" ht="15.75" thickBot="1">
      <c r="B17" s="111" t="s">
        <v>540</v>
      </c>
      <c r="C17" s="119" t="s">
        <v>541</v>
      </c>
      <c r="D17" s="119" t="s">
        <v>542</v>
      </c>
    </row>
    <row r="18" spans="2:12" ht="16.5" thickTop="1" thickBot="1">
      <c r="B18" s="112" t="s">
        <v>543</v>
      </c>
      <c r="C18" s="113">
        <v>37</v>
      </c>
      <c r="D18" s="113">
        <v>15</v>
      </c>
    </row>
    <row r="19" spans="2:12" ht="15.75" thickBot="1">
      <c r="B19" s="112" t="s">
        <v>544</v>
      </c>
      <c r="C19" s="113">
        <v>42</v>
      </c>
      <c r="D19" s="113">
        <v>9</v>
      </c>
    </row>
    <row r="20" spans="2:12" ht="15.75" thickBot="1">
      <c r="B20" s="112" t="s">
        <v>545</v>
      </c>
      <c r="C20" s="113">
        <v>41</v>
      </c>
      <c r="D20" s="113">
        <v>8</v>
      </c>
    </row>
    <row r="21" spans="2:12" ht="15.75" thickBot="1">
      <c r="B21" s="112" t="s">
        <v>546</v>
      </c>
      <c r="C21" s="113">
        <v>43</v>
      </c>
      <c r="D21" s="113">
        <v>11</v>
      </c>
    </row>
    <row r="22" spans="2:12" ht="15.75" thickBot="1">
      <c r="B22" s="112" t="s">
        <v>547</v>
      </c>
      <c r="C22" s="113">
        <v>7.7</v>
      </c>
      <c r="D22" s="113">
        <v>1.2</v>
      </c>
    </row>
    <row r="23" spans="2:12">
      <c r="B23" s="114"/>
    </row>
    <row r="24" spans="2:12">
      <c r="B24" s="108" t="s">
        <v>548</v>
      </c>
    </row>
    <row r="25" spans="2:12" ht="25.5" customHeight="1">
      <c r="B25" s="159" t="s">
        <v>549</v>
      </c>
      <c r="C25" s="159"/>
      <c r="D25" s="159"/>
      <c r="E25" s="159"/>
      <c r="F25" s="159"/>
      <c r="G25" s="159"/>
      <c r="H25" s="159"/>
      <c r="I25" s="159"/>
      <c r="J25" s="159"/>
      <c r="K25" s="159"/>
    </row>
    <row r="26" spans="2:12">
      <c r="B26" s="107"/>
    </row>
    <row r="27" spans="2:12" ht="19.5">
      <c r="B27" s="115" t="s">
        <v>550</v>
      </c>
    </row>
    <row r="28" spans="2:12">
      <c r="B28" s="107" t="s">
        <v>551</v>
      </c>
    </row>
    <row r="29" spans="2:12" s="116" customFormat="1" ht="27.75" customHeight="1">
      <c r="B29" s="159" t="s">
        <v>703</v>
      </c>
      <c r="C29" s="159"/>
      <c r="D29" s="159"/>
      <c r="E29" s="159"/>
      <c r="F29" s="159"/>
      <c r="G29" s="159"/>
      <c r="H29" s="159"/>
      <c r="I29" s="159"/>
      <c r="J29" s="159"/>
      <c r="K29" s="159"/>
    </row>
    <row r="30" spans="2:12">
      <c r="B30" s="107" t="s">
        <v>694</v>
      </c>
    </row>
    <row r="31" spans="2:12">
      <c r="B31" s="109" t="s">
        <v>695</v>
      </c>
    </row>
    <row r="32" spans="2:12" ht="17.25" customHeight="1">
      <c r="B32" s="117"/>
      <c r="C32" s="166" t="s">
        <v>670</v>
      </c>
      <c r="D32" s="166"/>
      <c r="E32" s="166"/>
      <c r="F32" s="166"/>
      <c r="G32" s="166"/>
      <c r="H32" s="166"/>
      <c r="I32" s="166"/>
      <c r="J32" s="166"/>
      <c r="K32" s="166"/>
      <c r="L32" s="166"/>
    </row>
    <row r="33" spans="2:13" ht="30" customHeight="1">
      <c r="B33" s="109"/>
      <c r="C33" s="166" t="s">
        <v>696</v>
      </c>
      <c r="D33" s="166"/>
      <c r="E33" s="166"/>
      <c r="F33" s="166"/>
      <c r="G33" s="166"/>
      <c r="H33" s="166"/>
      <c r="I33" s="166"/>
      <c r="J33" s="166"/>
      <c r="K33" s="166"/>
      <c r="L33" s="166"/>
    </row>
    <row r="34" spans="2:13">
      <c r="B34" s="109" t="s">
        <v>656</v>
      </c>
    </row>
    <row r="35" spans="2:13" s="109" customFormat="1" ht="39.75" customHeight="1">
      <c r="C35" s="166" t="s">
        <v>704</v>
      </c>
      <c r="D35" s="166"/>
      <c r="E35" s="166"/>
      <c r="F35" s="166"/>
      <c r="G35" s="166"/>
      <c r="H35" s="166"/>
      <c r="I35" s="166"/>
      <c r="J35" s="166"/>
      <c r="K35" s="166"/>
      <c r="L35" s="166"/>
      <c r="M35" s="105"/>
    </row>
    <row r="36" spans="2:13" s="109" customFormat="1" ht="41.25" customHeight="1">
      <c r="C36" s="166" t="s">
        <v>657</v>
      </c>
      <c r="D36" s="166"/>
      <c r="E36" s="166"/>
      <c r="F36" s="166"/>
      <c r="G36" s="166"/>
      <c r="H36" s="166"/>
      <c r="I36" s="166"/>
      <c r="J36" s="166"/>
      <c r="K36" s="166"/>
      <c r="L36" s="166"/>
      <c r="M36" s="105"/>
    </row>
    <row r="37" spans="2:13" s="109" customFormat="1" ht="74.25" customHeight="1">
      <c r="C37" s="166" t="s">
        <v>697</v>
      </c>
      <c r="D37" s="166"/>
      <c r="E37" s="166"/>
      <c r="F37" s="166"/>
      <c r="G37" s="166"/>
      <c r="H37" s="166"/>
      <c r="I37" s="166"/>
      <c r="J37" s="166"/>
      <c r="K37" s="166"/>
      <c r="L37" s="166"/>
      <c r="M37" s="105"/>
    </row>
    <row r="38" spans="2:13" s="109" customFormat="1" ht="39" customHeight="1">
      <c r="C38" s="166" t="s">
        <v>698</v>
      </c>
      <c r="D38" s="166"/>
      <c r="E38" s="166"/>
      <c r="F38" s="166"/>
      <c r="G38" s="166"/>
      <c r="H38" s="166"/>
      <c r="I38" s="166"/>
      <c r="J38" s="166"/>
      <c r="K38" s="166"/>
      <c r="L38" s="166"/>
      <c r="M38" s="105"/>
    </row>
    <row r="39" spans="2:13" s="116" customFormat="1">
      <c r="B39" s="107"/>
    </row>
    <row r="40" spans="2:13" s="116" customFormat="1">
      <c r="B40" s="118" t="s">
        <v>552</v>
      </c>
    </row>
    <row r="41" spans="2:13" s="116" customFormat="1" ht="15.75" thickBot="1">
      <c r="B41" s="111" t="s">
        <v>553</v>
      </c>
      <c r="C41" s="162" t="s">
        <v>554</v>
      </c>
      <c r="D41" s="163"/>
      <c r="E41" s="163"/>
      <c r="F41" s="163"/>
      <c r="G41" s="163"/>
      <c r="H41" s="163"/>
      <c r="I41" s="163"/>
      <c r="J41" s="163"/>
    </row>
    <row r="42" spans="2:13" s="116" customFormat="1" ht="27.75" customHeight="1" thickTop="1" thickBot="1">
      <c r="B42" s="112" t="s">
        <v>555</v>
      </c>
      <c r="C42" s="167" t="s">
        <v>556</v>
      </c>
      <c r="D42" s="168"/>
      <c r="E42" s="168"/>
      <c r="F42" s="168"/>
      <c r="G42" s="168"/>
      <c r="H42" s="168"/>
      <c r="I42" s="168"/>
      <c r="J42" s="168"/>
    </row>
    <row r="43" spans="2:13" s="116" customFormat="1" ht="42.75" customHeight="1" thickBot="1">
      <c r="B43" s="112" t="s">
        <v>557</v>
      </c>
      <c r="C43" s="167" t="s">
        <v>558</v>
      </c>
      <c r="D43" s="168"/>
      <c r="E43" s="168"/>
      <c r="F43" s="168"/>
      <c r="G43" s="168"/>
      <c r="H43" s="168"/>
      <c r="I43" s="168"/>
      <c r="J43" s="168"/>
    </row>
    <row r="44" spans="2:13" s="116" customFormat="1" ht="46.5" customHeight="1" thickBot="1">
      <c r="B44" s="112" t="s">
        <v>705</v>
      </c>
      <c r="C44" s="167" t="s">
        <v>699</v>
      </c>
      <c r="D44" s="168"/>
      <c r="E44" s="168"/>
      <c r="F44" s="168"/>
      <c r="G44" s="168"/>
      <c r="H44" s="168"/>
      <c r="I44" s="168"/>
      <c r="J44" s="168"/>
    </row>
    <row r="45" spans="2:13" s="116" customFormat="1" ht="25.5" customHeight="1" thickBot="1">
      <c r="B45" s="112" t="s">
        <v>559</v>
      </c>
      <c r="C45" s="167" t="s">
        <v>560</v>
      </c>
      <c r="D45" s="168"/>
      <c r="E45" s="168"/>
      <c r="F45" s="168"/>
      <c r="G45" s="168"/>
      <c r="H45" s="168"/>
      <c r="I45" s="168"/>
      <c r="J45" s="168"/>
    </row>
    <row r="46" spans="2:13" s="116" customFormat="1" ht="23.25" customHeight="1" thickBot="1">
      <c r="B46" s="112" t="s">
        <v>700</v>
      </c>
      <c r="C46" s="167" t="s">
        <v>701</v>
      </c>
      <c r="D46" s="169"/>
      <c r="E46" s="169"/>
      <c r="F46" s="169"/>
      <c r="G46" s="169"/>
      <c r="H46" s="169"/>
      <c r="I46" s="169"/>
      <c r="J46" s="169"/>
    </row>
    <row r="47" spans="2:13" s="116" customFormat="1" ht="15.75" thickBot="1">
      <c r="B47" s="120"/>
    </row>
  </sheetData>
  <mergeCells count="23">
    <mergeCell ref="C42:J42"/>
    <mergeCell ref="C43:J43"/>
    <mergeCell ref="C44:J44"/>
    <mergeCell ref="C45:J45"/>
    <mergeCell ref="C46:J46"/>
    <mergeCell ref="C41:J41"/>
    <mergeCell ref="B11:K11"/>
    <mergeCell ref="B13:K13"/>
    <mergeCell ref="B14:K14"/>
    <mergeCell ref="B25:K25"/>
    <mergeCell ref="B29:K29"/>
    <mergeCell ref="C32:L32"/>
    <mergeCell ref="C33:L33"/>
    <mergeCell ref="C35:L35"/>
    <mergeCell ref="C36:L36"/>
    <mergeCell ref="C37:L37"/>
    <mergeCell ref="C38:L38"/>
    <mergeCell ref="B10:K10"/>
    <mergeCell ref="B2:K2"/>
    <mergeCell ref="B3:K3"/>
    <mergeCell ref="B4:K4"/>
    <mergeCell ref="B5:K5"/>
    <mergeCell ref="B7:K7"/>
  </mergeCells>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A79E6C2BF3D7A64D87BF5B300ABBB426" ma:contentTypeVersion="0" ma:contentTypeDescription="Create a new document." ma:contentTypeScope="" ma:versionID="19f501622ec9cf6ee844a83e62ca8981">
  <xsd:schema xmlns:xsd="http://www.w3.org/2001/XMLSchema" xmlns:xs="http://www.w3.org/2001/XMLSchema" xmlns:p="http://schemas.microsoft.com/office/2006/metadata/properties" xmlns:ns2="a14523ce-dede-483e-883a-2d83261080bd" targetNamespace="http://schemas.microsoft.com/office/2006/metadata/properties" ma:root="true" ma:fieldsID="7609b2132cc27c2e027996f255529d92" ns2:_="">
    <xsd:import namespace="a14523ce-dede-483e-883a-2d83261080bd"/>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4523ce-dede-483e-883a-2d83261080b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a14523ce-dede-483e-883a-2d83261080bd">NETWORKDEV-2134468847-13813</_dlc_DocId>
    <_dlc_DocIdUrl xmlns="a14523ce-dede-483e-883a-2d83261080bd">
      <Url>http://sharedocs/sites/nd/BusinessAsUsual/_layouts/15/DocIdRedir.aspx?ID=NETWORKDEV-2134468847-13813</Url>
      <Description>NETWORKDEV-2134468847-13813</Description>
    </_dlc_DocIdUrl>
  </documentManagement>
</p:properties>
</file>

<file path=customXml/item5.xml>��< ? x m l   v e r s i o n = " 1 . 0 "   e n c o d i n g = " u t f - 1 6 " ? > < D a t a M a s h u p   s q m i d = " c d 5 1 e 4 2 6 - 4 e 3 1 - 4 1 1 d - b c 8 0 - 9 d a d 8 4 d 2 a 4 6 b "   x m l n s = " h t t p : / / s c h e m a s . m i c r o s o f t . c o m / D a t a M a s h u p " > A A A A A B c D A A B Q S w M E F A A C A A g A z F 1 i T Z 1 J h 1 q n A A A A + Q A A A B I A H A B D b 2 5 m a W c v U G F j a 2 F n Z S 5 4 b W w g o h g A K K A U A A A A A A A A A A A A A A A A A A A A A A A A A A A A h Y / R C o I w G I V f R X b v N i d G y O 8 k u k 0 I o u h 2 z K U j n e F m 8 9 2 6 6 J F 6 h Y S y u u v y H L 4 D 3 3 n c 7 p C P b R N c V W 9 1 Z z I U Y Y o C Z W R X a l N l a H C n c I l y D l s h z 6 J S w Q Q b m 4 5 W Z 6 h 2 7 p I S 4 r 3 H P s Z d X x F G a U S O x W Y n a 9 W K U B v r h J E K f V b l / x X i c H j J c I a T B U 4 o i 3 E U U Q Z k 7 q H Q 5 s u w S R l T I D 8 l r I f G D b 3 i y o S r P Z A 5 A n n f 4 E 9 Q S w M E F A A C A A g A z F 1 i T 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M x d Y k 0 o i k e 4 D g A A A B E A A A A T A B w A R m 9 y b X V s Y X M v U 2 V j d G l v b j E u b S C i G A A o o B Q A A A A A A A A A A A A A A A A A A A A A A A A A A A A r T k 0 u y c z P U w i G 0 I b W A F B L A Q I t A B Q A A g A I A M x d Y k 2 d S Y d a p w A A A P k A A A A S A A A A A A A A A A A A A A A A A A A A A A B D b 2 5 m a W c v U G F j a 2 F n Z S 5 4 b W x Q S w E C L Q A U A A I A C A D M X W J N D 8 r p q 6 Q A A A D p A A A A E w A A A A A A A A A A A A A A A A D z A A A A W 0 N v b n R l b n R f V H l w Z X N d L n h t b F B L A Q I t A B Q A A g A I A M x d Y k 0 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H X 3 V F 2 e y D R 5 W 2 q N L A I B + l A A A A A A I A A A A A A A N m A A D A A A A A E A A A A F 9 Z C 7 f p S b 3 E e e k g X L W G L M o A A A A A B I A A A K A A A A A Q A A A A Z W F A w Z a g D X Y F N 9 M Q b O 8 A E F A A A A B S s v 3 m n f H o B U H f K b x i K m n b 7 v M E 0 N 8 6 u 0 8 O Y r i p 1 t H + 7 b r f v 3 A J g X 3 i 7 Y Y t 4 i c h d i B p h T 8 K M R g D j n p N C Y u 8 3 m S O / Y x b R 7 0 N v / K N E s l Q P + v f U h Q A A A D u 4 0 D 3 w k t 4 F G i n a 8 z o N h J j V 3 y l E g = = < / D a t a M a s h u p > 
</file>

<file path=customXml/itemProps1.xml><?xml version="1.0" encoding="utf-8"?>
<ds:datastoreItem xmlns:ds="http://schemas.openxmlformats.org/officeDocument/2006/customXml" ds:itemID="{499750AC-BAB1-45DF-BFB9-027E52EB04F1}">
  <ds:schemaRefs>
    <ds:schemaRef ds:uri="http://schemas.microsoft.com/sharepoint/v3/contenttype/forms"/>
  </ds:schemaRefs>
</ds:datastoreItem>
</file>

<file path=customXml/itemProps2.xml><?xml version="1.0" encoding="utf-8"?>
<ds:datastoreItem xmlns:ds="http://schemas.openxmlformats.org/officeDocument/2006/customXml" ds:itemID="{A3587273-40E9-447E-B829-F08DBB9F148E}">
  <ds:schemaRefs>
    <ds:schemaRef ds:uri="http://schemas.microsoft.com/sharepoint/events"/>
  </ds:schemaRefs>
</ds:datastoreItem>
</file>

<file path=customXml/itemProps3.xml><?xml version="1.0" encoding="utf-8"?>
<ds:datastoreItem xmlns:ds="http://schemas.openxmlformats.org/officeDocument/2006/customXml" ds:itemID="{89728FB0-5DCE-407C-A5E4-EA3593B221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4523ce-dede-483e-883a-2d83261080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A1DD80D-532E-4FBC-B085-D24AD578DBFE}">
  <ds:schemaRefs>
    <ds:schemaRef ds:uri="http://schemas.microsoft.com/office/2006/documentManagement/types"/>
    <ds:schemaRef ds:uri="http://purl.org/dc/dcmitype/"/>
    <ds:schemaRef ds:uri="http://www.w3.org/XML/1998/namespace"/>
    <ds:schemaRef ds:uri="http://purl.org/dc/term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a14523ce-dede-483e-883a-2d83261080bd"/>
  </ds:schemaRefs>
</ds:datastoreItem>
</file>

<file path=customXml/itemProps5.xml><?xml version="1.0" encoding="utf-8"?>
<ds:datastoreItem xmlns:ds="http://schemas.openxmlformats.org/officeDocument/2006/customXml" ds:itemID="{D2BEB587-F90A-4FCB-8BFA-CAC55F4A9C6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Queensland Summary</vt:lpstr>
      <vt:lpstr>Change Log</vt:lpstr>
      <vt:lpstr>Existing S &amp; SS Generation</vt:lpstr>
      <vt:lpstr>Summer Scheduled Capacities</vt:lpstr>
      <vt:lpstr>Winter Scheduled Capacities</vt:lpstr>
      <vt:lpstr>Existing NS Generation</vt:lpstr>
      <vt:lpstr>New Developments</vt:lpstr>
      <vt:lpstr>Background Information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Generation_Information_TAS_autogen_CONFIDENTIAL.xlsx</dc:creator>
  <cp:lastModifiedBy>Oscar Veloz</cp:lastModifiedBy>
  <dcterms:created xsi:type="dcterms:W3CDTF">2014-03-07T16:08:25Z</dcterms:created>
  <dcterms:modified xsi:type="dcterms:W3CDTF">2018-11-02T00:46:46Z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0x010100A79E6C2BF3D7A64D87BF5B300ABBB426</vt:lpwstr>
  </property>
  <property fmtid="{D5CDD505-2E9C-101B-9397-08002B2CF9AE}" pid="3" name="AEMODocumentTypeTaxHTField0">
    <vt:lpwstr>Operational Record|859762f2-4462-42eb-9744-c955c7e2c540</vt:lpwstr>
  </property>
  <property fmtid="{D5CDD505-2E9C-101B-9397-08002B2CF9AE}" pid="4" name="TaxCatchAll">
    <vt:lpwstr>3;#Operational Record|859762f2-4462-42eb-9744-c955c7e2c540</vt:lpwstr>
  </property>
  <property fmtid="{D5CDD505-2E9C-101B-9397-08002B2CF9AE}" pid="5" name="_dlc_DocIdItemGuid">
    <vt:lpwstr>16532832-96eb-4944-8b27-2d59e7b9219a</vt:lpwstr>
  </property>
  <property fmtid="{D5CDD505-2E9C-101B-9397-08002B2CF9AE}" pid="6" name="AEMODocumentType">
    <vt:lpwstr>3;#Operational Record|859762f2-4462-42eb-9744-c955c7e2c540</vt:lpwstr>
  </property>
</Properties>
</file>