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haredocs\DavWWWRoot\sites\nd\BusinessAsUsual\Generation Information\GenInfo\2019\2019_January_minor_update\16_publication\2\"/>
    </mc:Choice>
  </mc:AlternateContent>
  <xr:revisionPtr revIDLastSave="0" documentId="13_ncr:1_{1F36F36C-F01E-4643-8B9E-91E3F1DBA717}" xr6:coauthVersionLast="36" xr6:coauthVersionMax="36" xr10:uidLastSave="{00000000-0000-0000-0000-000000000000}"/>
  <bookViews>
    <workbookView xWindow="0" yWindow="0" windowWidth="13125" windowHeight="6105" tabRatio="762" xr2:uid="{00000000-000D-0000-FFFF-FFFF00000000}"/>
  </bookViews>
  <sheets>
    <sheet name="Queensland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_xlnm._FilterDatabase" localSheetId="6" hidden="1">'New Developments'!$A$1:$B$1</definedName>
    <definedName name="_xlnm._FilterDatabase" localSheetId="3" hidden="1">'Summer Scheduled Capacities'!$A$1:$A$1</definedName>
    <definedName name="ExternalData_1" localSheetId="5" hidden="1">'Existing NS Generation'!$A$2:$I$71</definedName>
    <definedName name="ExternalData_1" localSheetId="2">'Existing S &amp; SS Generation'!#REF!</definedName>
    <definedName name="ExternalData_1" localSheetId="3" hidden="1">'Summer Scheduled Capacities'!$A$2:$O$52</definedName>
    <definedName name="ExternalData_1" localSheetId="4" hidden="1">'Winter Scheduled Capacities'!$A$2:$O$52</definedName>
    <definedName name="ExternalData_2" localSheetId="2" hidden="1">'Existing S &amp; SS Generation'!$A$2:$L$31</definedName>
    <definedName name="ExternalData_2" localSheetId="3" hidden="1">'Summer Scheduled Capacities'!$A$62:$O$84</definedName>
    <definedName name="ExternalData_2" localSheetId="4" hidden="1">'Winter Scheduled Capacities'!$A$62:$O$84</definedName>
    <definedName name="ExternalData_3" localSheetId="3" hidden="1">'Summer Scheduled Capacities'!$A$91:$O$119</definedName>
    <definedName name="ExternalData_3" localSheetId="4" hidden="1">'Winter Scheduled Capacities'!$A$91:$O$119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1" i="1" l="1"/>
  <c r="K71" i="1"/>
  <c r="J71" i="1"/>
  <c r="I71" i="1"/>
  <c r="H71" i="1"/>
  <c r="G71" i="1"/>
  <c r="F71" i="1"/>
  <c r="E71" i="1"/>
  <c r="D71" i="1"/>
  <c r="C71" i="1"/>
  <c r="L67" i="1"/>
  <c r="K67" i="1"/>
  <c r="J67" i="1"/>
  <c r="I67" i="1"/>
  <c r="H67" i="1"/>
  <c r="G67" i="1"/>
  <c r="F67" i="1"/>
  <c r="E67" i="1"/>
  <c r="D67" i="1"/>
  <c r="C67" i="1"/>
  <c r="L68" i="1"/>
  <c r="K68" i="1"/>
  <c r="J68" i="1"/>
  <c r="I68" i="1"/>
  <c r="H68" i="1"/>
  <c r="G68" i="1"/>
  <c r="F68" i="1"/>
  <c r="E68" i="1"/>
  <c r="D68" i="1"/>
  <c r="C68" i="1"/>
  <c r="D33" i="11"/>
  <c r="C73" i="12" l="1"/>
  <c r="C54" i="16" l="1"/>
  <c r="D54" i="16"/>
  <c r="E54" i="16"/>
  <c r="F54" i="16"/>
  <c r="G54" i="16"/>
  <c r="H54" i="16"/>
  <c r="I54" i="16"/>
  <c r="J54" i="16"/>
  <c r="K54" i="16"/>
  <c r="B54" i="16"/>
  <c r="C123" i="16"/>
  <c r="D123" i="16"/>
  <c r="E123" i="16"/>
  <c r="F123" i="16"/>
  <c r="G123" i="16"/>
  <c r="H123" i="16"/>
  <c r="I123" i="16"/>
  <c r="J123" i="16"/>
  <c r="K123" i="16"/>
  <c r="B123" i="16"/>
  <c r="C122" i="16"/>
  <c r="D122" i="16"/>
  <c r="E122" i="16"/>
  <c r="F122" i="16"/>
  <c r="G122" i="16"/>
  <c r="H122" i="16"/>
  <c r="I122" i="16"/>
  <c r="J122" i="16"/>
  <c r="K122" i="16"/>
  <c r="B122" i="16"/>
  <c r="C121" i="16"/>
  <c r="D121" i="16"/>
  <c r="E121" i="16"/>
  <c r="F121" i="16"/>
  <c r="G121" i="16"/>
  <c r="H121" i="16"/>
  <c r="I121" i="16"/>
  <c r="J121" i="16"/>
  <c r="K121" i="16"/>
  <c r="B121" i="16"/>
  <c r="C88" i="16"/>
  <c r="D88" i="16"/>
  <c r="E88" i="16"/>
  <c r="F88" i="16"/>
  <c r="G88" i="16"/>
  <c r="H88" i="16"/>
  <c r="I88" i="16"/>
  <c r="J88" i="16"/>
  <c r="K88" i="16"/>
  <c r="B88" i="16"/>
  <c r="C123" i="15" l="1"/>
  <c r="D123" i="15"/>
  <c r="E123" i="15"/>
  <c r="F123" i="15"/>
  <c r="G123" i="15"/>
  <c r="H123" i="15"/>
  <c r="I123" i="15"/>
  <c r="J123" i="15"/>
  <c r="K123" i="15"/>
  <c r="B123" i="15"/>
  <c r="C122" i="15"/>
  <c r="D122" i="15"/>
  <c r="E122" i="15"/>
  <c r="F122" i="15"/>
  <c r="G122" i="15"/>
  <c r="H122" i="15"/>
  <c r="I122" i="15"/>
  <c r="J122" i="15"/>
  <c r="K122" i="15"/>
  <c r="B122" i="15"/>
  <c r="C121" i="15"/>
  <c r="D121" i="15"/>
  <c r="E121" i="15"/>
  <c r="F121" i="15"/>
  <c r="G121" i="15"/>
  <c r="H121" i="15"/>
  <c r="I121" i="15"/>
  <c r="J121" i="15"/>
  <c r="K121" i="15"/>
  <c r="B121" i="15"/>
  <c r="C88" i="15"/>
  <c r="D88" i="15"/>
  <c r="E88" i="15"/>
  <c r="F88" i="15"/>
  <c r="G88" i="15"/>
  <c r="H88" i="15"/>
  <c r="I88" i="15"/>
  <c r="J88" i="15"/>
  <c r="K88" i="15"/>
  <c r="B88" i="15"/>
  <c r="C54" i="15"/>
  <c r="D54" i="15"/>
  <c r="E54" i="15"/>
  <c r="F54" i="15"/>
  <c r="G54" i="15"/>
  <c r="H54" i="15"/>
  <c r="I54" i="15"/>
  <c r="J54" i="15"/>
  <c r="K54" i="15"/>
  <c r="B54" i="15"/>
  <c r="H69" i="1" l="1"/>
  <c r="J66" i="1"/>
  <c r="F66" i="1" l="1"/>
  <c r="G66" i="1"/>
  <c r="H66" i="1"/>
  <c r="L66" i="1"/>
  <c r="I66" i="1"/>
  <c r="E66" i="1"/>
  <c r="D66" i="1"/>
  <c r="M71" i="1"/>
  <c r="M67" i="1"/>
  <c r="K66" i="1"/>
  <c r="M68" i="1"/>
  <c r="C66" i="1"/>
  <c r="L70" i="1"/>
  <c r="K70" i="1"/>
  <c r="J70" i="1"/>
  <c r="I70" i="1"/>
  <c r="H70" i="1"/>
  <c r="G70" i="1"/>
  <c r="F70" i="1"/>
  <c r="E70" i="1"/>
  <c r="D70" i="1"/>
  <c r="C70" i="1"/>
  <c r="L69" i="1"/>
  <c r="K69" i="1"/>
  <c r="J69" i="1"/>
  <c r="I69" i="1"/>
  <c r="G69" i="1"/>
  <c r="F69" i="1"/>
  <c r="E69" i="1"/>
  <c r="D69" i="1"/>
  <c r="C69" i="1"/>
  <c r="M70" i="1" l="1"/>
  <c r="M69" i="1"/>
  <c r="M6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<sst xmlns="http://schemas.openxmlformats.org/spreadsheetml/2006/main" count="3569" uniqueCount="793">
  <si>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</si>
  <si>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</si>
  <si>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</si>
  <si>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</si>
  <si>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</si>
  <si>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</si>
  <si>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</si>
  <si>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</si>
  <si>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</si>
  <si>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</si>
  <si>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</si>
  <si>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</si>
  <si>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</si>
  <si>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</si>
  <si>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</si>
  <si>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</si>
  <si>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</si>
  <si>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Barcaldine Power Station</t>
  </si>
  <si>
    <t>Ergon Energy Queensland Pty Ltd</t>
  </si>
  <si>
    <t>1 x 37</t>
  </si>
  <si>
    <t>QLD</t>
  </si>
  <si>
    <t>Barron Gorge</t>
  </si>
  <si>
    <t>Stanwell Corporation Limited</t>
  </si>
  <si>
    <t>2 x 33</t>
  </si>
  <si>
    <t>Run of River</t>
  </si>
  <si>
    <t>Water</t>
  </si>
  <si>
    <t>Hydro - Gravity</t>
  </si>
  <si>
    <t>AGL Energy</t>
  </si>
  <si>
    <t>Steam Sub Critical</t>
  </si>
  <si>
    <t>Black Coal</t>
  </si>
  <si>
    <t>AGL</t>
  </si>
  <si>
    <t>Braemar</t>
  </si>
  <si>
    <t>Braemar Power Project Pty Ltd</t>
  </si>
  <si>
    <t>3 x 168</t>
  </si>
  <si>
    <t>Coal Seam Methane</t>
  </si>
  <si>
    <t>Braemar 2 Power Station</t>
  </si>
  <si>
    <t>Arrow Braemar 2 Pty Ltd and Arrow Southern Generation Pty Ltd trading as NewGen Braemar 2 Partnership</t>
  </si>
  <si>
    <t>3 x 173</t>
  </si>
  <si>
    <t>PARF Company 6 Pty Limited</t>
  </si>
  <si>
    <t>PV panels</t>
  </si>
  <si>
    <t>Solar</t>
  </si>
  <si>
    <t>Callide B</t>
  </si>
  <si>
    <t>CS Energy</t>
  </si>
  <si>
    <t>2 x 350</t>
  </si>
  <si>
    <t>Callide C</t>
  </si>
  <si>
    <t>Callide Power Management</t>
  </si>
  <si>
    <t>2 x 450</t>
  </si>
  <si>
    <t>Steam Super Critical</t>
  </si>
  <si>
    <t>Clare Solar Farm</t>
  </si>
  <si>
    <t>Clare Asset Co Pty Ltd ATF Clare Asset Trust</t>
  </si>
  <si>
    <t>69 x 1.6</t>
  </si>
  <si>
    <t>PV-Tracking Flat panel</t>
  </si>
  <si>
    <t>Condamine A</t>
  </si>
  <si>
    <t>QGC</t>
  </si>
  <si>
    <t>1 x 57.1
2 x 43.7</t>
  </si>
  <si>
    <t>CCGT</t>
  </si>
  <si>
    <t>Darling Downs</t>
  </si>
  <si>
    <t>Origin Energy Power Limited</t>
  </si>
  <si>
    <t>3 x 121.5
1 x 280</t>
  </si>
  <si>
    <t>Gladstone</t>
  </si>
  <si>
    <t>Gladstone Power Station Participants</t>
  </si>
  <si>
    <t>6 x 280</t>
  </si>
  <si>
    <t>Kareeya</t>
  </si>
  <si>
    <t>4 x 21.6</t>
  </si>
  <si>
    <t>Kidston Solar Project Phase One 50MW</t>
  </si>
  <si>
    <t>Genex Power Limited</t>
  </si>
  <si>
    <t>1 x 50</t>
  </si>
  <si>
    <t>Kogan Creek</t>
  </si>
  <si>
    <t>1 x 744</t>
  </si>
  <si>
    <t>2 x 40</t>
  </si>
  <si>
    <t>Announced Withdrawal</t>
  </si>
  <si>
    <t>Mackay GT</t>
  </si>
  <si>
    <t>1 x 34</t>
  </si>
  <si>
    <t>Millmerran</t>
  </si>
  <si>
    <t>Millmerran Power Partners</t>
  </si>
  <si>
    <t>2 x 426</t>
  </si>
  <si>
    <t>Mt Stuart</t>
  </si>
  <si>
    <t>Origin Energy Mt Stuart</t>
  </si>
  <si>
    <t>Oakey Power Station</t>
  </si>
  <si>
    <t>Oakey Power Holdings</t>
  </si>
  <si>
    <t>2 x 141</t>
  </si>
  <si>
    <t>Roma</t>
  </si>
  <si>
    <t>Stanwell</t>
  </si>
  <si>
    <t>4 x 365</t>
  </si>
  <si>
    <t>Swanbank E GT</t>
  </si>
  <si>
    <t>1 x 385</t>
  </si>
  <si>
    <t>Energy Pacific Vic Pty Ltd</t>
  </si>
  <si>
    <t>Tarong</t>
  </si>
  <si>
    <t>4 x 350</t>
  </si>
  <si>
    <t>Tarong North</t>
  </si>
  <si>
    <t>1 x 450</t>
  </si>
  <si>
    <t>Townsville Power Station</t>
  </si>
  <si>
    <t>Ratch Australia</t>
  </si>
  <si>
    <t>Wivenhoe</t>
  </si>
  <si>
    <t>2 x 285</t>
  </si>
  <si>
    <t>Total</t>
  </si>
  <si>
    <t>1</t>
  </si>
  <si>
    <t>2</t>
  </si>
  <si>
    <t>Units 1-40</t>
  </si>
  <si>
    <t>Units 1-69</t>
  </si>
  <si>
    <t>Clermont Solar Farm</t>
  </si>
  <si>
    <t>Clermont Solar Farm 1</t>
  </si>
  <si>
    <t>Collinsville PV</t>
  </si>
  <si>
    <t>All Units</t>
  </si>
  <si>
    <t>Darling Downs Solar Farm</t>
  </si>
  <si>
    <t>Daydream Solar Farm</t>
  </si>
  <si>
    <t>6</t>
  </si>
  <si>
    <t>Haughton Solar Farm</t>
  </si>
  <si>
    <t>Units 1-81</t>
  </si>
  <si>
    <t>Hayman Solar Farm</t>
  </si>
  <si>
    <t>Kennedy Energy Park - Phase 1 - Solar</t>
  </si>
  <si>
    <t>Kennedy Energy Park - Phase 1 - Storage</t>
  </si>
  <si>
    <t>Kennedy Energy Park - Phase 1 - Wind</t>
  </si>
  <si>
    <t>12</t>
  </si>
  <si>
    <t>Lilyvale Solar Farm</t>
  </si>
  <si>
    <t>1-69</t>
  </si>
  <si>
    <t>Mount Emerald</t>
  </si>
  <si>
    <t>Units 1-53</t>
  </si>
  <si>
    <t>Oakey 2 Solar Farm</t>
  </si>
  <si>
    <t>Oakey 2</t>
  </si>
  <si>
    <t>Oakey Solar Farm</t>
  </si>
  <si>
    <t>Solar Panels</t>
  </si>
  <si>
    <t>Ross River Solar Farm</t>
  </si>
  <si>
    <t>75</t>
  </si>
  <si>
    <t>1-6</t>
  </si>
  <si>
    <t>Whitsunday Solar Farm</t>
  </si>
  <si>
    <t>Station</t>
  </si>
  <si>
    <t>Existing non-scheduled generation</t>
  </si>
  <si>
    <t>Nameplate Capacity (MW)</t>
  </si>
  <si>
    <t>In service</t>
  </si>
  <si>
    <t>LMS Energy Pty Ltd</t>
  </si>
  <si>
    <t>Landfill Methane / Landfill Gas</t>
  </si>
  <si>
    <t>Waste Coal Mine Gas</t>
  </si>
  <si>
    <t>LMS ENERGY Pty Ltd</t>
  </si>
  <si>
    <t>Barcaldine Remote Community Solar Farm</t>
  </si>
  <si>
    <t>Barcaldine Remote Community Solar Farm Pty Ltd</t>
  </si>
  <si>
    <t>Birkdale</t>
  </si>
  <si>
    <t>Bagasse</t>
  </si>
  <si>
    <t>Browns Plains</t>
  </si>
  <si>
    <t>EDL LFG Qld Pty Ltd</t>
  </si>
  <si>
    <t>Chillamurra Solar Farm</t>
  </si>
  <si>
    <t>Chillamurra Solar Pty Ltd</t>
  </si>
  <si>
    <t>Daandine Power Station</t>
  </si>
  <si>
    <t>APT Petroleum Pipeline Holdings Pty Ltd</t>
  </si>
  <si>
    <t>Dunblane Solar Farm</t>
  </si>
  <si>
    <t>Dunblane Solar Pty Ltd</t>
  </si>
  <si>
    <t>Fraser Coast Community Solar Farm</t>
  </si>
  <si>
    <t>Wide Bay Water Corporation</t>
  </si>
  <si>
    <t>German Creek</t>
  </si>
  <si>
    <t>EDL CSM Qld Pty Ltd</t>
  </si>
  <si>
    <t>EDL OCI Pty Ltd</t>
  </si>
  <si>
    <t>Grosvenor 1</t>
  </si>
  <si>
    <t>EDL Projects Australia Pty Ltd</t>
  </si>
  <si>
    <t>Inkerman Mill</t>
  </si>
  <si>
    <t>Pioneer Sugar Mills P/L</t>
  </si>
  <si>
    <t>Invicta Mill</t>
  </si>
  <si>
    <t>The Haughton Sugar Company P/L</t>
  </si>
  <si>
    <t>ISIS Central Sugar Mill Co-generation Plant</t>
  </si>
  <si>
    <t>Kalamia Mill</t>
  </si>
  <si>
    <t>Wilmar Sugar  P/L</t>
  </si>
  <si>
    <t>Kareeya 5</t>
  </si>
  <si>
    <t>Llewellyn Motors</t>
  </si>
  <si>
    <t>Llewellyn Land Pty Ltd ATF Llewellyn Land Unit Trust</t>
  </si>
  <si>
    <t>Macknade Mill</t>
  </si>
  <si>
    <t>Wilmar Sugar P/L</t>
  </si>
  <si>
    <t>Maryborough Mill</t>
  </si>
  <si>
    <t>MSF Sugar</t>
  </si>
  <si>
    <t>McNamee Partners</t>
  </si>
  <si>
    <t>McNamee Partners Pty Ltd</t>
  </si>
  <si>
    <t>Molendinar</t>
  </si>
  <si>
    <t>Moranbah Generation Project</t>
  </si>
  <si>
    <t>Moranbah North</t>
  </si>
  <si>
    <t>MSF Sugar Pty Ltd</t>
  </si>
  <si>
    <t>Mulgrave Central Mill</t>
  </si>
  <si>
    <t>Oaky Creek</t>
  </si>
  <si>
    <t>Oaky Creek 2</t>
  </si>
  <si>
    <t>EDL OCI PTY LTD</t>
  </si>
  <si>
    <t>Pioneer Sugar Mill</t>
  </si>
  <si>
    <t>Plane Creek Mill</t>
  </si>
  <si>
    <t>Wilmar Sugar Plane Creek P/L</t>
  </si>
  <si>
    <t>Proserpine</t>
  </si>
  <si>
    <t>Wimar Sugar Proserpine Pty Ltd</t>
  </si>
  <si>
    <t>Racecourse Mill</t>
  </si>
  <si>
    <t>Mackay Sugar Ltd</t>
  </si>
  <si>
    <t>Renewable Power Australia Limited</t>
  </si>
  <si>
    <t>Renewable Power Australia Limited as Trustee for FPC Green Fund Trust</t>
  </si>
  <si>
    <t>Green and air dried wood</t>
  </si>
  <si>
    <t>Rochedale Renewable Energy Facility</t>
  </si>
  <si>
    <t>Roghan Road</t>
  </si>
  <si>
    <t>South Johnstone Mill</t>
  </si>
  <si>
    <t>Southbank Institute of Technology Unit 1 Plant</t>
  </si>
  <si>
    <t>Southbank Institute of Technology</t>
  </si>
  <si>
    <t>Stapylton Renewable Energy Facility</t>
  </si>
  <si>
    <t>Sun Metals Corporation Solar Farm</t>
  </si>
  <si>
    <t>Sun Metals Corporation Pty Ltd</t>
  </si>
  <si>
    <t>Suncoast Gold Macadamias</t>
  </si>
  <si>
    <t>Macadamia Nut Shells</t>
  </si>
  <si>
    <t>Sunshine Coast Solar Farm</t>
  </si>
  <si>
    <t>Sunshine Coast Regional Council</t>
  </si>
  <si>
    <t>Suntown Renewable Energy Facility</t>
  </si>
  <si>
    <t>Swanbank JV</t>
  </si>
  <si>
    <t>Tableland Mill</t>
  </si>
  <si>
    <t>Tarong GT</t>
  </si>
  <si>
    <t>Fuel Oil</t>
  </si>
  <si>
    <t>Ti Tree Bioenergy</t>
  </si>
  <si>
    <t>Victoria Mill</t>
  </si>
  <si>
    <t>Wilmar Sugar Herbert P/L</t>
  </si>
  <si>
    <t>Whitwood Road</t>
  </si>
  <si>
    <t>Windy Hill</t>
  </si>
  <si>
    <t>Wivenhoe Small Hydro</t>
  </si>
  <si>
    <t>Yarwun 1</t>
  </si>
  <si>
    <t>RTA Yarwun Pty Ltd</t>
  </si>
  <si>
    <t>Projects under development</t>
  </si>
  <si>
    <t>Project</t>
  </si>
  <si>
    <t>Unit Status</t>
  </si>
  <si>
    <t>Full Commercial Use Date</t>
  </si>
  <si>
    <t>TBA</t>
  </si>
  <si>
    <t>No</t>
  </si>
  <si>
    <t>Yes</t>
  </si>
  <si>
    <t>NS</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</si>
  <si>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</si>
  <si>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</si>
  <si>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</si>
  <si>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</si>
  <si>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</si>
  <si>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</si>
  <si>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</si>
  <si>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</si>
  <si>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</si>
  <si>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</si>
  <si>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</si>
  <si>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</si>
  <si>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</si>
  <si>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</si>
  <si>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</si>
  <si>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</si>
  <si>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</si>
  <si>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</si>
  <si>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</si>
  <si>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</si>
  <si>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Infigen Energy</t>
  </si>
  <si>
    <t>Renew Estate</t>
  </si>
  <si>
    <t>120</t>
  </si>
  <si>
    <t>Emerging</t>
  </si>
  <si>
    <t>112</t>
  </si>
  <si>
    <t>Vena Energy</t>
  </si>
  <si>
    <t>Units 1 to n</t>
  </si>
  <si>
    <t>150</t>
  </si>
  <si>
    <t>100</t>
  </si>
  <si>
    <t>50</t>
  </si>
  <si>
    <t>Neoen</t>
  </si>
  <si>
    <t>Oct 2018</t>
  </si>
  <si>
    <t>Sep 2020</t>
  </si>
  <si>
    <t>90</t>
  </si>
  <si>
    <t>15</t>
  </si>
  <si>
    <t>300</t>
  </si>
  <si>
    <t>110</t>
  </si>
  <si>
    <t>350</t>
  </si>
  <si>
    <t>25</t>
  </si>
  <si>
    <t>250</t>
  </si>
  <si>
    <t>Dec 2022</t>
  </si>
  <si>
    <t>500</t>
  </si>
  <si>
    <t>ESCO Pacific</t>
  </si>
  <si>
    <t>55</t>
  </si>
  <si>
    <t>Jan 2020</t>
  </si>
  <si>
    <t>Overland Sun Farming</t>
  </si>
  <si>
    <t>First Solar Australia Pty Ltd</t>
  </si>
  <si>
    <t>60</t>
  </si>
  <si>
    <t>Aldoga Solar Farm</t>
  </si>
  <si>
    <t>Acciona Energy Australia Global</t>
  </si>
  <si>
    <t>265</t>
  </si>
  <si>
    <t>Aramara Solar Farm</t>
  </si>
  <si>
    <t>Archer Point Wind Farm</t>
  </si>
  <si>
    <t>Wind Power Queensland Pty Ltd</t>
  </si>
  <si>
    <t>Units 1 - 60</t>
  </si>
  <si>
    <t>0 - 120</t>
  </si>
  <si>
    <t>Baking Board Solar Farm Chinchilla</t>
  </si>
  <si>
    <t>Chinchilla Solar Pty Ltd</t>
  </si>
  <si>
    <t>14.7</t>
  </si>
  <si>
    <t>Baralaba Solar Farm</t>
  </si>
  <si>
    <t>FRV Services Australia Pty Ltd</t>
  </si>
  <si>
    <t>Ingeteam Sun Power Max inverter</t>
  </si>
  <si>
    <t>Bluff Solar Farm</t>
  </si>
  <si>
    <t>Bouldercombe Solar Farm</t>
  </si>
  <si>
    <t>EEW Eco Energy World Ltd</t>
  </si>
  <si>
    <t>Bowen Solar Farm</t>
  </si>
  <si>
    <t>31 - 40</t>
  </si>
  <si>
    <t>Broadlea Solar Farm</t>
  </si>
  <si>
    <t>EEW Eco Energy World</t>
  </si>
  <si>
    <t>Broadlea Solar</t>
  </si>
  <si>
    <t>Darling Downs Solar Farm Pty Ltd</t>
  </si>
  <si>
    <t>BSF CL1</t>
  </si>
  <si>
    <t>Bulli Creek Solar Farm</t>
  </si>
  <si>
    <t>Units 1-240</t>
  </si>
  <si>
    <t>1200</t>
  </si>
  <si>
    <t>Lyon Solar</t>
  </si>
  <si>
    <t>Childers Solar Farm</t>
  </si>
  <si>
    <t>Childers Solar Pty Ltd</t>
  </si>
  <si>
    <t>56</t>
  </si>
  <si>
    <t>Chinchilla Solar Farm - First Solar</t>
  </si>
  <si>
    <t>Clarke Creek Solar Farm</t>
  </si>
  <si>
    <t>100 - 350</t>
  </si>
  <si>
    <t>Clermont Asset Co Pty Ltd as Trustee for Clerrmont Solar Unit Trust</t>
  </si>
  <si>
    <t>92.5</t>
  </si>
  <si>
    <t>Collinsville North Solar</t>
  </si>
  <si>
    <t>Jun 2020</t>
  </si>
  <si>
    <t>42.5</t>
  </si>
  <si>
    <t>Aug 2018</t>
  </si>
  <si>
    <t>Columboola</t>
  </si>
  <si>
    <t>Luminous Energy</t>
  </si>
  <si>
    <t>PV Panels</t>
  </si>
  <si>
    <t>324</t>
  </si>
  <si>
    <t>Dalby</t>
  </si>
  <si>
    <t>unit 1 -19</t>
  </si>
  <si>
    <t>30</t>
  </si>
  <si>
    <t>167.5</t>
  </si>
  <si>
    <t>Delga Solar Farm</t>
  </si>
  <si>
    <t>Shell Australia</t>
  </si>
  <si>
    <t>Dysart Solar Farm RED</t>
  </si>
  <si>
    <t>Tilt Renewables</t>
  </si>
  <si>
    <t>Emerald Solar Park</t>
  </si>
  <si>
    <t>72</t>
  </si>
  <si>
    <t>Forsayth Wind Farm</t>
  </si>
  <si>
    <t>Units 1-30</t>
  </si>
  <si>
    <t>Grosvenor 2 Waste Coal Mine Gas Power Station</t>
  </si>
  <si>
    <t>1-5</t>
  </si>
  <si>
    <t>15.205</t>
  </si>
  <si>
    <t>Group Linen - Maryborough</t>
  </si>
  <si>
    <t>Group Linen</t>
  </si>
  <si>
    <t>Units 1 - 5</t>
  </si>
  <si>
    <t>0.1656</t>
  </si>
  <si>
    <t>Sep 2018</t>
  </si>
  <si>
    <t>Group Linen - Prince Charles</t>
  </si>
  <si>
    <t>Units 1 - 10</t>
  </si>
  <si>
    <t>0.3312</t>
  </si>
  <si>
    <t>Group Linen - Princess Alexandra</t>
  </si>
  <si>
    <t>1-10</t>
  </si>
  <si>
    <t>Gympie Regional Energy Hub - Stage 3</t>
  </si>
  <si>
    <t>Hamilton Solar Farm</t>
  </si>
  <si>
    <t>Hamilton Solar Farm Pty Ltd</t>
  </si>
  <si>
    <t>Pacific Hydro Haughton Solar Farm Pty Ltd</t>
  </si>
  <si>
    <t>High Road</t>
  </si>
  <si>
    <t>59</t>
  </si>
  <si>
    <t>Hughenden Sun Farm</t>
  </si>
  <si>
    <t>18</t>
  </si>
  <si>
    <t>Kaban Green Power Hub - BESS</t>
  </si>
  <si>
    <t>Kaban Green Power Hub - Wind Farm</t>
  </si>
  <si>
    <t>1-29</t>
  </si>
  <si>
    <t>Kelsey Creek Solar Farm</t>
  </si>
  <si>
    <t>BayWa r.e. Solar Project Pty Ltd</t>
  </si>
  <si>
    <t>Windlab / Eurus</t>
  </si>
  <si>
    <t>Windlab/Eurus</t>
  </si>
  <si>
    <t>43.2</t>
  </si>
  <si>
    <t>Kidston Pumped Storage Hydro Project 250MW</t>
  </si>
  <si>
    <t>HYD1 and HYD2</t>
  </si>
  <si>
    <t>Kidston Solar Project Phase Two 270MW</t>
  </si>
  <si>
    <t>KSP2 - 1 Unit</t>
  </si>
  <si>
    <t>270</t>
  </si>
  <si>
    <t>Kidston Stage 3 Wind Project</t>
  </si>
  <si>
    <t>33</t>
  </si>
  <si>
    <t>Kingaroy Solar Farm</t>
  </si>
  <si>
    <t>Kingaroy Operationsco Pty Ltd</t>
  </si>
  <si>
    <t>Koberinga Solar Farm</t>
  </si>
  <si>
    <t>Lake Somerset</t>
  </si>
  <si>
    <t>Seqwater</t>
  </si>
  <si>
    <t>Lakeland 2</t>
  </si>
  <si>
    <t>Kawa Australia Pty Ltd Trading as Conergy</t>
  </si>
  <si>
    <t>20</t>
  </si>
  <si>
    <t>Lakeland Wind Farm</t>
  </si>
  <si>
    <t>Lakeland Wind Farm Pty Ltd</t>
  </si>
  <si>
    <t>104.4</t>
  </si>
  <si>
    <t>Lilyvale Asset Co Pty Ltd ATF Lilyvale Asset Trust</t>
  </si>
  <si>
    <t>Quinbrook Infrastructure Partners</t>
  </si>
  <si>
    <t>Longreach Solar Farm</t>
  </si>
  <si>
    <t>Matthew Flinders College Senior</t>
  </si>
  <si>
    <t>Matthew Flinders Anglican College</t>
  </si>
  <si>
    <t>0.19872</t>
  </si>
  <si>
    <t>McIntyre</t>
  </si>
  <si>
    <t>1-100</t>
  </si>
  <si>
    <t>Middlemount Sun Farm</t>
  </si>
  <si>
    <t>26</t>
  </si>
  <si>
    <t>Miles Solar Project</t>
  </si>
  <si>
    <t>Mirani Solar Farm</t>
  </si>
  <si>
    <t>180.5</t>
  </si>
  <si>
    <t>Mt Cotton Biomass Cogeneration Power Station</t>
  </si>
  <si>
    <t>Darwalla Milling Co Pty Ltd</t>
  </si>
  <si>
    <t>Wood Waste</t>
  </si>
  <si>
    <t>7.6</t>
  </si>
  <si>
    <t>North Qld Bio-Energy Plant</t>
  </si>
  <si>
    <t>North Queensland Bio-Energy Corporation Limited</t>
  </si>
  <si>
    <t>1-3</t>
  </si>
  <si>
    <t>120 - 150</t>
  </si>
  <si>
    <t>North Queensland Solar Farm</t>
  </si>
  <si>
    <t>KCSF Consortium</t>
  </si>
  <si>
    <t>RE Oakey Pty Ltd</t>
  </si>
  <si>
    <t>Rodds Bay Solar Farm</t>
  </si>
  <si>
    <t>Rollingstone Solar Farm</t>
  </si>
  <si>
    <t>Ross River Operations Pty Ltd</t>
  </si>
  <si>
    <t>Rugby Run Solar Farm</t>
  </si>
  <si>
    <t>Adani Rugby Run Pty Ltd</t>
  </si>
  <si>
    <t>65</t>
  </si>
  <si>
    <t>Dec 2018</t>
  </si>
  <si>
    <t>Susan River Solar Farm</t>
  </si>
  <si>
    <t>Susan River Solar Pty Ltd</t>
  </si>
  <si>
    <t>Tableland Mill (expansion)</t>
  </si>
  <si>
    <t>24</t>
  </si>
  <si>
    <t>Teebar Solar One</t>
  </si>
  <si>
    <t>Teebar Clean Energy Pty Ltd</t>
  </si>
  <si>
    <t>1 - 21</t>
  </si>
  <si>
    <t>52.5</t>
  </si>
  <si>
    <t>Jul 2019</t>
  </si>
  <si>
    <t>Tieri Solar Farm</t>
  </si>
  <si>
    <t>1-50</t>
  </si>
  <si>
    <t>Wandoan South Solar</t>
  </si>
  <si>
    <t>Vena Evergy</t>
  </si>
  <si>
    <t>650</t>
  </si>
  <si>
    <t>Western Downs Green Power Hub</t>
  </si>
  <si>
    <t>Western Downs Solar Farm</t>
  </si>
  <si>
    <t>Mar 2021</t>
  </si>
  <si>
    <t>Whitsunday Solar Farm Pty Ltd</t>
  </si>
  <si>
    <t>Windy Hill II</t>
  </si>
  <si>
    <t>10 - 30</t>
  </si>
  <si>
    <t>Sep 2023</t>
  </si>
  <si>
    <t>Yarranlea Solar</t>
  </si>
  <si>
    <t>Risen Energy Australia</t>
  </si>
  <si>
    <t>102.5</t>
  </si>
  <si>
    <t>Aug 2019</t>
  </si>
  <si>
    <t>Yuleba North Solar Project</t>
  </si>
  <si>
    <t>Please read the full disclaimer at</t>
  </si>
  <si>
    <t>http://www.aemo.com.au/Electricity/National-Electricity-Market-NEM/Planning-and-forecasting/Generation-information</t>
  </si>
  <si>
    <t>Queensland Summary</t>
  </si>
  <si>
    <t>Changes since last update</t>
  </si>
  <si>
    <t xml:space="preserve">Generation withdrawals  </t>
  </si>
  <si>
    <t>No generators withdrawn.</t>
  </si>
  <si>
    <t xml:space="preserve">Announced withdrawals (i.e. Mothballed, Seasonal Shut down etc.)           </t>
  </si>
  <si>
    <r>
      <t>Mackay GT Power Station:</t>
    </r>
    <r>
      <rPr>
        <sz val="9"/>
        <color theme="1"/>
        <rFont val="Arial"/>
        <family val="2"/>
      </rPr>
      <t xml:space="preserve"> Stanwell Corporation advises that Mackay GT (34 MW) will be retired at the end of financial year 2020-21.</t>
    </r>
  </si>
  <si>
    <t>Committed projects</t>
  </si>
  <si>
    <t xml:space="preserve">Proposed projects </t>
  </si>
  <si>
    <t>Please refer to information presented in the worksheet titled 'New Developments'.</t>
  </si>
  <si>
    <t xml:space="preserve">Plant limitations </t>
  </si>
  <si>
    <t>Queensland existing and potential new developments by generation type (MW)</t>
  </si>
  <si>
    <t>Queensland Change Log</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</si>
  <si>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</si>
  <si>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</si>
  <si>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</si>
  <si>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</si>
  <si>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</si>
  <si>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</si>
  <si>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</si>
  <si>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</si>
  <si>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</si>
  <si>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</si>
  <si>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</si>
  <si>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</si>
  <si>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</si>
  <si>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</si>
  <si>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</si>
  <si>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</si>
  <si>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</si>
  <si>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</si>
  <si>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</si>
  <si>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</si>
  <si>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</si>
  <si>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</si>
  <si>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</si>
  <si>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</si>
  <si>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</si>
  <si>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</si>
  <si>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</si>
  <si>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</si>
  <si>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</si>
  <si>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</si>
  <si>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</si>
  <si>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</si>
  <si>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</si>
  <si>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t>None to report.</t>
  </si>
  <si>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</si>
  <si>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</si>
  <si>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</si>
  <si>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</si>
  <si>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</si>
  <si>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</si>
  <si>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r>
      <rPr>
        <b/>
        <sz val="9"/>
        <rFont val="Arial"/>
        <family val="2"/>
      </rPr>
      <t>Mount Emerald:</t>
    </r>
    <r>
      <rPr>
        <sz val="9"/>
        <rFont val="Arial"/>
        <family val="2"/>
      </rPr>
      <t xml:space="preserve"> Ratch Australia advises that Mount Emerald (180.5 MW) is now a committed project with full commercial use expected September 2018.</t>
    </r>
  </si>
  <si>
    <r>
      <t>Swanbank E GT:</t>
    </r>
    <r>
      <rPr>
        <sz val="9"/>
        <rFont val="Arial"/>
        <family val="2"/>
      </rPr>
      <t xml:space="preserve"> Stanwell Corporation Limited advises that Swanbank E GT (385 MW) is currently in cold storage and at this time is scheduled to return to service on 1 December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</si>
  <si>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</si>
  <si>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</si>
  <si>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</si>
  <si>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</si>
  <si>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</si>
  <si>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</si>
  <si>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</si>
  <si>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</si>
  <si>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</si>
  <si>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</si>
  <si>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</si>
  <si>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</si>
  <si>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</si>
  <si>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</si>
  <si>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</si>
  <si>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</si>
  <si>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</si>
  <si>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</si>
  <si>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</si>
  <si>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r>
      <rPr>
        <b/>
        <sz val="11"/>
        <color rgb="FF000000"/>
        <rFont val="Calibri"/>
        <family val="2"/>
        <scheme val="minor"/>
      </rPr>
      <t>Sun Metals Solar Farm:</t>
    </r>
    <r>
      <rPr>
        <sz val="11"/>
        <color rgb="FF000000"/>
        <rFont val="Calibri"/>
        <family val="2"/>
        <scheme val="minor"/>
      </rPr>
      <t xml:space="preserve"> Sun Metals Solar Farm (124MW) is now reported as a committed project since Sun Metals Corporation Pty Ltd advises that it has commenced construction.</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</si>
  <si>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</si>
  <si>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</si>
  <si>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</si>
  <si>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</si>
  <si>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</si>
  <si>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</si>
  <si>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</si>
  <si>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</si>
  <si>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</si>
  <si>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</si>
  <si>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</si>
  <si>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</si>
  <si>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</si>
  <si>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</si>
  <si>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</si>
  <si>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</si>
  <si>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</si>
  <si>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</si>
  <si>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</si>
  <si>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</si>
  <si>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</si>
  <si>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</si>
  <si>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</si>
  <si>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</si>
  <si>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</si>
  <si>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</si>
  <si>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</si>
  <si>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</si>
  <si>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</si>
  <si>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</si>
  <si>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</si>
  <si>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Clermont Solar Farm :</t>
    </r>
    <r>
      <rPr>
        <sz val="9"/>
        <rFont val="Arial"/>
        <family val="2"/>
      </rPr>
      <t xml:space="preserve"> Clermont Asset Co Pty Ltd as Trustee advises that Clermont Solar Farm (92.5 MW) is now a committed project.</t>
    </r>
  </si>
  <si>
    <r>
      <rPr>
        <b/>
        <sz val="9"/>
        <color rgb="FF000000"/>
        <rFont val="Arial"/>
        <family val="2"/>
      </rPr>
      <t xml:space="preserve">Haughton Solar Farm: </t>
    </r>
    <r>
      <rPr>
        <sz val="9"/>
        <color rgb="FF000000"/>
        <rFont val="Arial"/>
        <family val="2"/>
      </rPr>
      <t xml:space="preserve"> Pacific Hydro advises that Haughton Solar Farm (100 MW) is now a committed project.</t>
    </r>
  </si>
  <si>
    <r>
      <rPr>
        <b/>
        <sz val="9"/>
        <color rgb="FF000000"/>
        <rFont val="Arial"/>
        <family val="2"/>
      </rPr>
      <t xml:space="preserve">Susan River Solar Farm: </t>
    </r>
    <r>
      <rPr>
        <sz val="9"/>
        <color rgb="FF000000"/>
        <rFont val="Arial"/>
        <family val="2"/>
      </rPr>
      <t>Susan River Solar Farm (100 MW) is now reported as a committed project since ESCO Pacific advises it has commenced construction.</t>
    </r>
  </si>
  <si>
    <r>
      <rPr>
        <b/>
        <sz val="9"/>
        <color rgb="FF000000"/>
        <rFont val="Arial"/>
        <family val="2"/>
      </rPr>
      <t xml:space="preserve">Yarranlea Solar: </t>
    </r>
    <r>
      <rPr>
        <sz val="9"/>
        <color rgb="FF000000"/>
        <rFont val="Arial"/>
        <family val="2"/>
      </rPr>
      <t>Yarranlea Solar (102.5 MW) is now reported as a committed project since Risen Energy Australia advises it has commenced construction.</t>
    </r>
  </si>
  <si>
    <t>FPC Green Energy</t>
  </si>
  <si>
    <t>FPC 30 Limited as Trustee for FPC Green Fund Trust</t>
  </si>
  <si>
    <t>Moranbah Workers Solar</t>
  </si>
  <si>
    <t>Mount Sheridan Plaza</t>
  </si>
  <si>
    <t>Normanton Solar Farm</t>
  </si>
  <si>
    <t>PV - single axis tracking</t>
  </si>
  <si>
    <t>SIPS Staypylton Industrial Power Station</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</si>
  <si>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</si>
  <si>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</si>
  <si>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</si>
  <si>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</si>
  <si>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</si>
  <si>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</si>
  <si>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</si>
  <si>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</si>
  <si>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</si>
  <si>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</si>
  <si>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</si>
  <si>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Summer aggregate available scheduled and semi-scheduled generation</t>
  </si>
  <si>
    <t>PowerStation</t>
  </si>
  <si>
    <t>FuelType</t>
  </si>
  <si>
    <t>Season</t>
  </si>
  <si>
    <t>Fossil</t>
  </si>
  <si>
    <t>summer</t>
  </si>
  <si>
    <t>Hydro</t>
  </si>
  <si>
    <t>The table above lists the latest Summer capacities for Queensland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</si>
  <si>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</si>
  <si>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</si>
  <si>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</si>
  <si>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</si>
  <si>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</si>
  <si>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NA</t>
  </si>
  <si>
    <t>Firm Solar Capacity</t>
  </si>
  <si>
    <t>Summer aggregate available semi-scheduled generation</t>
  </si>
  <si>
    <t>Total (Wind)</t>
  </si>
  <si>
    <t>Total (Solar)</t>
  </si>
  <si>
    <t>Total (Storage)</t>
  </si>
  <si>
    <t>Winter aggregate available scheduled and semi-scheduled generation</t>
  </si>
  <si>
    <t>winter</t>
  </si>
  <si>
    <t>The table above lists the latest Winter capacities for Queensland generation. Winter conditions relate to statistically predicted contribution under 10% POE maximum demand conditions.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</si>
  <si>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</si>
  <si>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</si>
  <si>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</si>
  <si>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Lighthouse Infrastructure Management Limited</t>
  </si>
  <si>
    <t>1 - 32</t>
  </si>
  <si>
    <t>Kennedy Energy Park - Phase 2 - Solar</t>
  </si>
  <si>
    <t>Windlab Developments</t>
  </si>
  <si>
    <t>Kennedy Energy Park - Phase 2 - Wind</t>
  </si>
  <si>
    <t>Units 1-9
Unit 10</t>
  </si>
  <si>
    <t>Raglan Solar Farm</t>
  </si>
  <si>
    <t>South Johnstone Mill (expansion)</t>
  </si>
  <si>
    <t>Spark Ignition  Reciprocating Engine</t>
  </si>
  <si>
    <t>Beelbee Solar Farm</t>
  </si>
  <si>
    <t>Aldi Brendale</t>
  </si>
  <si>
    <t>Somerset Dam</t>
  </si>
  <si>
    <t>Source</t>
  </si>
  <si>
    <t>www.baralabasolarfarm.com.au</t>
  </si>
  <si>
    <t>https://www.infigenenergy.com/our-business/development-pipeline/solar-energy-projects/</t>
  </si>
  <si>
    <t>https://wirsol.com.au/portfolio/clermont-solar-farm/</t>
  </si>
  <si>
    <t>Comet Solar Farm</t>
  </si>
  <si>
    <t>Hadstone Energy</t>
  </si>
  <si>
    <t>114</t>
  </si>
  <si>
    <t>https://www.infigenenergy.com/our-business/development-pipeline/wind-energy-projects/</t>
  </si>
  <si>
    <t>www.pacifichydro.com.au</t>
  </si>
  <si>
    <t>https://kabangreenpowerhub.com.au/</t>
  </si>
  <si>
    <t>Battery Storage</t>
  </si>
  <si>
    <t>http://www.genexpower.com.au/250mw-kidston-pumped-storage-hydro-project.html</t>
  </si>
  <si>
    <t>http://www.genexpower.com.au/270mw-kidston-solar-project.html</t>
  </si>
  <si>
    <t>http://www.genexpower.com.au/150mw-kidston-wind-project.html</t>
  </si>
  <si>
    <t>https://www.terrainsolar.com/kingaroy</t>
  </si>
  <si>
    <t>www.lilyvalesolarfarm.com.au</t>
  </si>
  <si>
    <t>http://www.overlandsunfarming.com.au/middlemount-sun-farm.html</t>
  </si>
  <si>
    <t>www.nqbioenergy.com.au</t>
  </si>
  <si>
    <t>www.msfsugar.com.au</t>
  </si>
  <si>
    <t>http://teebarcleanenergy.com.au/</t>
  </si>
  <si>
    <t>www.tierisolarfarm.com.au</t>
  </si>
  <si>
    <t>http://www.yarranleasolar.com.au/</t>
  </si>
  <si>
    <t>Longreach Asset Company</t>
  </si>
  <si>
    <t>Lakeland Solar and Storage</t>
  </si>
  <si>
    <t>Lakeland Solar and Storage Pty Limited</t>
  </si>
  <si>
    <t>25 x 5</t>
  </si>
  <si>
    <t>Feb 2019</t>
  </si>
  <si>
    <t xml:space="preserve">Summer 2018-19_x000D_
</t>
  </si>
  <si>
    <r>
      <rPr>
        <b/>
        <sz val="9"/>
        <color rgb="FF000000"/>
        <rFont val="Arial"/>
        <family val="2"/>
      </rPr>
      <t xml:space="preserve">Emerald Solar Park: </t>
    </r>
    <r>
      <rPr>
        <sz val="9"/>
        <color rgb="FF000000"/>
        <rFont val="Arial"/>
        <family val="2"/>
      </rPr>
      <t xml:space="preserve"> Emerald Solar Park (72 MW) is now reported as a committed project </t>
    </r>
    <r>
      <rPr>
        <sz val="9"/>
        <color theme="1"/>
        <rFont val="Arial"/>
        <family val="2"/>
      </rPr>
      <t>since Lighthouse Infrastructure Management Limited</t>
    </r>
    <r>
      <rPr>
        <sz val="9"/>
        <color rgb="FF000000"/>
        <rFont val="Arial"/>
        <family val="2"/>
      </rPr>
      <t xml:space="preserve"> advises that it has commenced construction.</t>
    </r>
  </si>
  <si>
    <t xml:space="preserve"> </t>
  </si>
  <si>
    <t>Generation capacity in the NEM</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</si>
  <si>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</si>
  <si>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</si>
  <si>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</si>
  <si>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
  </si>
  <si>
    <t>Blair Athol Solar Power Station</t>
  </si>
  <si>
    <t>TerraCom Ltd</t>
  </si>
  <si>
    <t>http://terracomresources.com/wp-content/uploads/2016/10/2016-10-12-Blair-Athol-60Mw-Solar-Power-Station-Plans.pdf</t>
  </si>
  <si>
    <t>Clarke Creek Wind and Solar Farm - Solar</t>
  </si>
  <si>
    <t>Lacour Energy</t>
  </si>
  <si>
    <t>200</t>
  </si>
  <si>
    <t>http://www.clarkecreekwindandsolar.com.au/</t>
  </si>
  <si>
    <t>Clarke Creek Wind and Solar Farm - Wind</t>
  </si>
  <si>
    <t>Rolleston Solar Farm</t>
  </si>
  <si>
    <t>RES Australia Pty Ltd</t>
  </si>
  <si>
    <t>http://www.rolleston-solarfarm.com/</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</si>
  <si>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</si>
  <si>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Solar*</t>
  </si>
  <si>
    <t>* Solar excludes rooftop PV installations</t>
  </si>
  <si>
    <t>2019</t>
  </si>
  <si>
    <t>2020</t>
  </si>
  <si>
    <t>2021</t>
  </si>
  <si>
    <t>2022</t>
  </si>
  <si>
    <t>2023</t>
  </si>
  <si>
    <t>2024</t>
  </si>
  <si>
    <t>2025</t>
  </si>
  <si>
    <t>2026</t>
  </si>
  <si>
    <t>2027</t>
  </si>
  <si>
    <t>2028</t>
  </si>
  <si>
    <t>DispatchType</t>
  </si>
  <si>
    <t>Maturing</t>
  </si>
  <si>
    <t>http://edifyenergy.com/projects/hayman-solar-farm/</t>
  </si>
  <si>
    <t>96</t>
  </si>
  <si>
    <t>240</t>
  </si>
  <si>
    <t>Units 4 - 5</t>
  </si>
  <si>
    <t>32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</si>
  <si>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</si>
  <si>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</si>
  <si>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</si>
  <si>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</si>
  <si>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</si>
  <si>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</si>
  <si>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</si>
  <si>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</si>
  <si>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</si>
  <si>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</si>
  <si>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</si>
  <si>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</si>
  <si>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</si>
  <si>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</si>
  <si>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</si>
  <si>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</si>
  <si>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rPr>
        <b/>
        <sz val="9"/>
        <color rgb="FF000000"/>
        <rFont val="Arial"/>
        <family val="2"/>
      </rPr>
      <t xml:space="preserve">TeeBar Solar Farm: </t>
    </r>
    <r>
      <rPr>
        <sz val="9"/>
        <color rgb="FF000000"/>
        <rFont val="Arial"/>
        <family val="2"/>
      </rPr>
      <t>TeeBar Solar Farm (52.5 MW) is now reported as a committed project since TeeBar Clean Energy Pty Ltd advises it has commenced construction.</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</si>
  <si>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r>
  </si>
  <si>
    <r>
      <rPr>
        <b/>
        <sz val="9"/>
        <rFont val="Arial"/>
        <family val="2"/>
      </rPr>
      <t xml:space="preserve">Kidston Pumped Storage Hydro Project: </t>
    </r>
    <r>
      <rPr>
        <sz val="9"/>
        <rFont val="Arial"/>
        <family val="2"/>
      </rPr>
      <t xml:space="preserve">Genex Power announces the Kidston Pumped Hydro Storage (200 MW) project in far north Queensland. </t>
    </r>
  </si>
  <si>
    <r>
      <rPr>
        <b/>
        <sz val="9"/>
        <rFont val="Arial"/>
        <family val="2"/>
      </rPr>
      <t xml:space="preserve">Kidston Pumped Storage Hydro Project: </t>
    </r>
    <r>
      <rPr>
        <sz val="9"/>
        <rFont val="Arial"/>
        <family val="2"/>
      </rPr>
      <t>Genex Power announces the Kidston Pumped Hydro Storage capacity is revised to 330 MW.</t>
    </r>
  </si>
  <si>
    <r>
      <t xml:space="preserve">Cook Shire Solar Storage Project: </t>
    </r>
    <r>
      <rPr>
        <sz val="9"/>
        <rFont val="Arial"/>
        <family val="2"/>
      </rPr>
      <t>Lyon Infrastructure Investments advises that Cook Shire Solar Storage Project (28MW) is a committed project.</t>
    </r>
  </si>
  <si>
    <r>
      <rPr>
        <b/>
        <sz val="9"/>
        <color rgb="FF000000"/>
        <rFont val="Arial"/>
        <family val="2"/>
      </rPr>
      <t xml:space="preserve">Childers Solar Farm: </t>
    </r>
    <r>
      <rPr>
        <sz val="9"/>
        <color rgb="FF000000"/>
        <rFont val="Arial"/>
        <family val="2"/>
      </rPr>
      <t xml:space="preserve"> Childers Solar Farm (56 MW) is now reported as a committed project since ESCO Pacific advises that it has commenced construction.</t>
    </r>
  </si>
  <si>
    <r>
      <rPr>
        <b/>
        <sz val="11"/>
        <color rgb="FF000000"/>
        <rFont val="Calibri"/>
        <family val="2"/>
        <scheme val="minor"/>
      </rPr>
      <t xml:space="preserve">Oakey 2 Solar Farm: </t>
    </r>
    <r>
      <rPr>
        <sz val="11"/>
        <color rgb="FF000000"/>
        <rFont val="Calibri"/>
        <family val="2"/>
        <scheme val="minor"/>
      </rPr>
      <t xml:space="preserve"> Oakey 2 Solar Farm (55 MW) is now reported as a committed project since Canadian Solar Pty Ltd advises that it has commenced construction.</t>
    </r>
  </si>
  <si>
    <t>Kerosene Aviation fuel used for stationary energy - avtur</t>
  </si>
  <si>
    <t>285</t>
  </si>
  <si>
    <t>2 MW / 4 MWh</t>
  </si>
  <si>
    <t>Munna Creek</t>
  </si>
  <si>
    <t>Renewable Energy System Technologies</t>
  </si>
  <si>
    <t>http://www.restweb.net/projects.html</t>
  </si>
  <si>
    <t>Unit Number and Nameplate Capacity (MW)</t>
  </si>
  <si>
    <r>
      <t xml:space="preserve">Callide C: </t>
    </r>
    <r>
      <rPr>
        <sz val="9"/>
        <rFont val="Arial"/>
        <family val="2"/>
      </rPr>
      <t>CS Energy have advised that Callide C capacity has been reduced from 1,000 MW to 840 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</si>
  <si>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1,000 MW to 840 MW.</t>
    </r>
  </si>
  <si>
    <t>20 MW / 80 MWh</t>
  </si>
  <si>
    <t>Note: Updated “Background Information” with changes to categories of proposed generation in the NEM.</t>
  </si>
  <si>
    <r>
      <rPr>
        <b/>
        <sz val="9"/>
        <color rgb="FF000000"/>
        <rFont val="Arial"/>
        <family val="2"/>
      </rPr>
      <t>Darling Downs Solar Farm:</t>
    </r>
    <r>
      <rPr>
        <sz val="9"/>
        <color rgb="FF000000"/>
        <rFont val="Arial"/>
        <family val="2"/>
      </rPr>
      <t xml:space="preserve"> Darling Downs Solar Farm Pty Ltd advises that Darling Downs Solar Farm (108.5 MW) is undergoing commissioning testing.</t>
    </r>
  </si>
  <si>
    <t>44 x 2.75</t>
  </si>
  <si>
    <t>201819</t>
  </si>
  <si>
    <t>201920</t>
  </si>
  <si>
    <t>202021</t>
  </si>
  <si>
    <t>202122</t>
  </si>
  <si>
    <t>202223</t>
  </si>
  <si>
    <t>202324</t>
  </si>
  <si>
    <t>202425</t>
  </si>
  <si>
    <t>202526</t>
  </si>
  <si>
    <t>202627</t>
  </si>
  <si>
    <t>202728</t>
  </si>
  <si>
    <t>23 x 2.5</t>
  </si>
  <si>
    <r>
      <t>Rugby Run Solar Farm :</t>
    </r>
    <r>
      <rPr>
        <sz val="9"/>
        <color rgb="FF000000"/>
        <rFont val="Arial"/>
        <family val="2"/>
      </rPr>
      <t xml:space="preserve"> Rugby Run Solar Farm (65MW) is now reported as committed since Adani Rugby Run Pty Ltd advises that it has commenced construction. </t>
    </r>
  </si>
  <si>
    <r>
      <rPr>
        <b/>
        <sz val="9"/>
        <color rgb="FF000000"/>
        <rFont val="Arial"/>
        <family val="2"/>
      </rPr>
      <t>Hamilton Solar Farm</t>
    </r>
    <r>
      <rPr>
        <sz val="9"/>
        <color rgb="FF000000"/>
        <rFont val="Arial"/>
        <family val="2"/>
      </rPr>
      <t>: Hamilton Solar Farm Pty Ltd advises that Hamilton Solar Farm (57.5 MW) is undergoing commissioning testing.</t>
    </r>
  </si>
  <si>
    <r>
      <rPr>
        <b/>
        <sz val="9"/>
        <color rgb="FF000000"/>
        <rFont val="Arial"/>
        <family val="2"/>
      </rPr>
      <t>Ross River Solar Farm</t>
    </r>
    <r>
      <rPr>
        <sz val="9"/>
        <color rgb="FF000000"/>
        <rFont val="Arial"/>
        <family val="2"/>
      </rPr>
      <t>: Ross River Operations Pty Ltd advises that Ross River Solar Farm (128 MW) is undergoing commissioning testing.</t>
    </r>
  </si>
  <si>
    <r>
      <rPr>
        <b/>
        <sz val="9"/>
        <color rgb="FF000000"/>
        <rFont val="Arial"/>
        <family val="2"/>
      </rPr>
      <t>Kennedy Energy Park</t>
    </r>
    <r>
      <rPr>
        <sz val="9"/>
        <color rgb="FF000000"/>
        <rFont val="Arial"/>
        <family val="2"/>
      </rPr>
      <t>: Kennedy Energy Park (Solar (15 MW), Wind (43.2 MW), Storage (2 MW)) is now reported as a committed project since Kennedy Energy Park Pty advises that it has commenced construction .</t>
    </r>
  </si>
  <si>
    <t>2 x 146
1 x 131.5</t>
  </si>
  <si>
    <t>64 x 2</t>
  </si>
  <si>
    <t>1 x 160
1 x 84</t>
  </si>
  <si>
    <t>Dingo Solar Farm</t>
  </si>
  <si>
    <t>85</t>
  </si>
  <si>
    <t>http://dingosolarfarm.com.au/</t>
  </si>
  <si>
    <t>https://www.adaniaustralia.com/en/projects-businesses/renewables/renewablesrugby</t>
  </si>
  <si>
    <t>Woolooga Solar Farm</t>
  </si>
  <si>
    <t>185</t>
  </si>
  <si>
    <t>http://www.wooloogaenergy.com/</t>
  </si>
  <si>
    <t>Apr 2019</t>
  </si>
  <si>
    <t>Mar 2019</t>
  </si>
  <si>
    <t>https://kennedyenergypark.com.au/</t>
  </si>
  <si>
    <r>
      <rPr>
        <b/>
        <sz val="9"/>
        <rFont val="Arial"/>
        <family val="2"/>
      </rPr>
      <t>Biomass:</t>
    </r>
    <r>
      <rPr>
        <sz val="9"/>
        <rFont val="Arial"/>
        <family val="2"/>
      </rPr>
      <t xml:space="preserve"> Tableland Mill (expansion) (24 MW)</t>
    </r>
  </si>
  <si>
    <r>
      <rPr>
        <b/>
        <sz val="9"/>
        <rFont val="Arial"/>
        <family val="2"/>
      </rPr>
      <t>Storage:</t>
    </r>
    <r>
      <rPr>
        <sz val="9"/>
        <rFont val="Arial"/>
        <family val="2"/>
      </rPr>
      <t xml:space="preserve"> Kennedy Energy Park - Phase 1 - Storage (2 MW / 4 MWh MW)</t>
    </r>
  </si>
  <si>
    <r>
      <rPr>
        <b/>
        <sz val="9"/>
        <rFont val="Arial"/>
        <family val="2"/>
      </rPr>
      <t xml:space="preserve">Coal, CCGT, OCGT, Gas other, Geo-thermal, Water, Other: </t>
    </r>
    <r>
      <rPr>
        <sz val="9"/>
        <rFont val="Arial"/>
        <family val="2"/>
      </rPr>
      <t>None to report.</t>
    </r>
  </si>
  <si>
    <t>Com* - Identifies projects that are under construction, but AEMO has not been informed that the project meets all  commitment criteria.</t>
  </si>
  <si>
    <t>In Commissioning*</t>
  </si>
  <si>
    <t>Pumped Storage</t>
  </si>
  <si>
    <t>N/A</t>
  </si>
  <si>
    <t>*In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</si>
  <si>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453</t>
  </si>
  <si>
    <t xml:space="preserve"> https://www.agl.com.au/about-agl/how-we-source-energy/coopers-gap-wind-farm_x000D__x000D_
</t>
  </si>
  <si>
    <t>Coopers Gap Wind Farm</t>
  </si>
  <si>
    <r>
      <t xml:space="preserve">Coopers Gap Wind Farm: </t>
    </r>
    <r>
      <rPr>
        <sz val="9"/>
        <color rgb="FF000000"/>
        <rFont val="Arial"/>
        <family val="2"/>
      </rPr>
      <t>PARF Company 6 Pty Limited advises that the capacity of Coopers Gap Wind Farm (previously reported as 350 MW) needs to be corrected to 453 MW.</t>
    </r>
  </si>
  <si>
    <t>Brigalow Solar Farm</t>
  </si>
  <si>
    <t xml:space="preserve">Emerald Solar Park_x000D_
</t>
  </si>
  <si>
    <t xml:space="preserve">Rugby Run Solar Farm_x000D_
</t>
  </si>
  <si>
    <t xml:space="preserve">Churchill Abattoir_x000D_
</t>
  </si>
  <si>
    <t>Boer Energy Australia Pty Ltd</t>
  </si>
  <si>
    <t>Impact Investment Group</t>
  </si>
  <si>
    <t>34.5</t>
  </si>
  <si>
    <t>https://www.impact-group.com.au/assets/brigalow-solar-farm/</t>
  </si>
  <si>
    <t>Cape York Battery Power Plant  - Storage</t>
  </si>
  <si>
    <t>https://www.lyoninfrastructure.com.au/projects/cape-york/</t>
  </si>
  <si>
    <t>Cape York Battery Power Plant - Solar</t>
  </si>
  <si>
    <t>BayWa r.e.</t>
  </si>
  <si>
    <t>Warwick Solar Farm</t>
  </si>
  <si>
    <t>The University of Queensland</t>
  </si>
  <si>
    <t>64.2</t>
  </si>
  <si>
    <t>https://sustainability.uq.edu.au/warwick-solar-farm</t>
  </si>
  <si>
    <r>
      <t xml:space="preserve">Brigalow Solar Farm: </t>
    </r>
    <r>
      <rPr>
        <sz val="9"/>
        <color rgb="FF000000"/>
        <rFont val="Arial"/>
        <family val="2"/>
      </rPr>
      <t>Brigalow Solar Farm (34.5 MW) is now reported as committed since Impact Investment Group advises that it has commenced construction.</t>
    </r>
  </si>
  <si>
    <t>1-52</t>
  </si>
  <si>
    <t>101.4</t>
  </si>
  <si>
    <t>Oakey1 Asset Co Pty Ltd</t>
  </si>
  <si>
    <t>Units 1-16</t>
  </si>
  <si>
    <r>
      <rPr>
        <b/>
        <sz val="9"/>
        <color rgb="FF000000"/>
        <rFont val="Arial"/>
        <family val="2"/>
      </rPr>
      <t>Warwick Solar Farm</t>
    </r>
    <r>
      <rPr>
        <sz val="9"/>
        <color rgb="FF000000"/>
        <rFont val="Arial"/>
        <family val="2"/>
      </rPr>
      <t xml:space="preserve"> : University of Queensland advises that Warwick Solar Farm (64.2 MW) is now a committed project</t>
    </r>
  </si>
  <si>
    <t>Closure Date</t>
  </si>
  <si>
    <t>Feb 2020</t>
  </si>
  <si>
    <t>Lockyer Valley Energy Project - Phase 1</t>
  </si>
  <si>
    <t>132</t>
  </si>
  <si>
    <t>Mar 2020</t>
  </si>
  <si>
    <r>
      <t xml:space="preserve">Hughenden Sun Farm: </t>
    </r>
    <r>
      <rPr>
        <sz val="9"/>
        <color rgb="FF000000"/>
        <rFont val="Arial"/>
        <family val="2"/>
      </rPr>
      <t>BayWa r.e. advises that Hughenden Sun Farm (18 MW) is now a committed project</t>
    </r>
  </si>
  <si>
    <t>Units 1-18</t>
  </si>
  <si>
    <t xml:space="preserve">Gympie Regional Energy Hub - Stage 1_x000D_
</t>
  </si>
  <si>
    <t xml:space="preserve">SolarQ Pty Ltd_x000D_
</t>
  </si>
  <si>
    <t xml:space="preserve">PV panels_x000D_
</t>
  </si>
  <si>
    <t>Nov-2019</t>
  </si>
  <si>
    <t>https://www.solarq.com.au/</t>
  </si>
  <si>
    <t xml:space="preserve">Gympie Regional Energy Hub - Stage 2_x000D_
</t>
  </si>
  <si>
    <t xml:space="preserve">1000 MW / 4000 MWh </t>
  </si>
  <si>
    <t>Nov-2020</t>
  </si>
  <si>
    <t>Nov-2022</t>
  </si>
  <si>
    <t>May 2019</t>
  </si>
  <si>
    <r>
      <t>Brigalow Solar Farm</t>
    </r>
    <r>
      <rPr>
        <sz val="9"/>
        <color rgb="FF000000"/>
        <rFont val="Arial"/>
        <family val="2"/>
      </rPr>
      <t>: Brigalow Solar Farm (34.5 MW) is now reported as committed since Impact Investment Group advises that it has commenced construction.</t>
    </r>
  </si>
  <si>
    <r>
      <t>Whitsunday Solar System</t>
    </r>
    <r>
      <rPr>
        <sz val="9"/>
        <color rgb="FF000000"/>
        <rFont val="Arial"/>
        <family val="2"/>
      </rPr>
      <t>:</t>
    </r>
    <r>
      <rPr>
        <b/>
        <sz val="9"/>
        <color rgb="FF000000"/>
        <rFont val="Arial"/>
        <family val="2"/>
      </rPr>
      <t xml:space="preserve"> </t>
    </r>
    <r>
      <rPr>
        <sz val="9"/>
        <color rgb="FF000000"/>
        <rFont val="Arial"/>
        <family val="2"/>
      </rPr>
      <t>Whitsunday Solar Farm Pty Ltd advises that Whitsunday Solar Farm (57.5 MW) is undergoing commissioning testing.</t>
    </r>
  </si>
  <si>
    <t>1 x 57.5</t>
  </si>
  <si>
    <t>Ipswich Regional Energy Hub - Solar</t>
  </si>
  <si>
    <t>1000</t>
  </si>
  <si>
    <t>Ipswich Regional Energy Hub - Storage</t>
  </si>
  <si>
    <t>Wivenhoe Regional Energy Hub - Solar</t>
  </si>
  <si>
    <t>Wivenhoe Regional Energy Hub - Storage</t>
  </si>
  <si>
    <t xml:space="preserve">Early 2019_x000D_
</t>
  </si>
  <si>
    <t>57.75</t>
  </si>
  <si>
    <r>
      <t xml:space="preserve">Hayman Solar Farm: </t>
    </r>
    <r>
      <rPr>
        <sz val="9"/>
        <color rgb="FF000000"/>
        <rFont val="Arial"/>
        <family val="2"/>
      </rPr>
      <t>Hayman Solar Farm Pty Ltd advises that the nameplate capacity of Hayman Solar Farm (previously 50 MW) needs to be corrected to Hayman Solar Farm (57.75 MW).</t>
    </r>
  </si>
  <si>
    <t>Unit Id</t>
  </si>
  <si>
    <t>1 – 91 x 3.63 MW, 92 – 123 x 3.83 MW</t>
  </si>
  <si>
    <r>
      <rPr>
        <b/>
        <sz val="9"/>
        <color theme="1"/>
        <rFont val="Arial"/>
        <family val="2"/>
      </rPr>
      <t>Wind:</t>
    </r>
    <r>
      <rPr>
        <sz val="9"/>
        <color theme="1"/>
        <rFont val="Arial"/>
        <family val="2"/>
      </rPr>
      <t xml:space="preserve"> Coopers Gap Wind Farm (453 MW), Kennedy Energy Park - Phase 1 - Wind (43.2 MW), Mount Emerald (180.5 MW)</t>
    </r>
  </si>
  <si>
    <r>
      <rPr>
        <b/>
        <sz val="9"/>
        <rFont val="Arial"/>
        <family val="2"/>
      </rPr>
      <t xml:space="preserve">Solar: </t>
    </r>
    <r>
      <rPr>
        <sz val="9"/>
        <rFont val="Arial"/>
        <family val="2"/>
      </rPr>
      <t>Childers Solar Farm (56 MW), Clermont Solar Farm (92.5 MW), Collinsville PV (42.5 MW), Daydream Solar Farm (167.5 MW), Emerald Solar Park (72 MW), Haughton Solar Farm (100 MW), Hayman Solar Farm (57.75 MW), Kennedy Energy Park - Phase 1 - Solar (15 MW), Lilyvale Solar Farm (100 MW), Oakey 2 Solar Farm (55 MW), Oakey Solar Farm (25 MW), Rugby Run Solar Farm (65 MW), Susan River Solar Farm (75 MW), Teebar Solar One (52.5 MW), Whitsunday Solar Farm (57.75 MW), Yarranlea Solar (102.5 MW), Brigalow Solar Farm (34.5 MW), Warwick Solar Farm (64.2 MW), Hughenden Sun Farm (18 MW).</t>
    </r>
  </si>
  <si>
    <t>Data presented is current as at 21 January 2019</t>
  </si>
  <si>
    <r>
      <rPr>
        <b/>
        <sz val="9"/>
        <color rgb="FFF47321"/>
        <rFont val="Arial"/>
        <family val="2"/>
      </rPr>
      <t>Amendment:</t>
    </r>
    <r>
      <rPr>
        <b/>
        <sz val="9"/>
        <rFont val="Arial"/>
        <family val="2"/>
      </rPr>
      <t xml:space="preserve">  04-Feb-19</t>
    </r>
  </si>
  <si>
    <r>
      <t>Townsville Power Station :</t>
    </r>
    <r>
      <rPr>
        <sz val="9"/>
        <rFont val="Arial"/>
        <family val="2"/>
      </rPr>
      <t xml:space="preserve"> AEMO has revised the Summer Scheduled Capacities of Townsville Power Station in 201819, 201920 from 115 MW to 233 MW; AEMO has also revised the Winter Scheduled Capacities of Townsville Power Station in 2019, 2020 from 163 MW,</t>
    </r>
    <r>
      <rPr>
        <b/>
        <sz val="9"/>
        <rFont val="Arial"/>
        <family val="2"/>
      </rPr>
      <t xml:space="preserve"> </t>
    </r>
    <r>
      <rPr>
        <sz val="9"/>
        <rFont val="Arial"/>
        <family val="2"/>
      </rPr>
      <t>161 MW to 245 MW, 243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</si>
</sst>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b/>
      <sz val="11"/>
      <color rgb="FF000000"/>
      <name val="Calibri"/>
      <family val="2"/>
      <scheme val="minor"/>
    </font>
    <font>
      <b/>
      <sz val="9"/>
      <name val="Arial"/>
      <family val="2"/>
    </font>
    <font>
      <b/>
      <sz val="9"/>
      <color rgb="FFF47321"/>
      <name val="Arial"/>
      <family val="2"/>
    </font>
    <font>
      <sz val="9"/>
      <name val="Arial"/>
      <family val="2"/>
    </font>
    <font>
      <b/>
      <sz val="9"/>
      <color rgb="FFFF0000"/>
      <name val="Arial"/>
      <family val="2"/>
    </font>
    <font>
      <b/>
      <sz val="9"/>
      <color theme="1"/>
      <name val="Arial"/>
      <family val="2"/>
    </font>
    <font>
      <sz val="9"/>
      <color theme="1"/>
      <name val="Arial"/>
      <family val="2"/>
    </font>
    <font>
      <sz val="9"/>
      <color rgb="FF000000"/>
      <name val="Arial"/>
      <family val="2"/>
    </font>
    <font>
      <sz val="9"/>
      <color rgb="FF1F497D"/>
      <name val="Arial"/>
      <family val="2"/>
    </font>
    <font>
      <b/>
      <sz val="8"/>
      <color theme="0"/>
      <name val="Arial"/>
      <family val="2"/>
    </font>
    <font>
      <sz val="9"/>
      <color theme="1"/>
      <name val="Symbol"/>
      <family val="1"/>
      <charset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b/>
      <sz val="9"/>
      <color rgb="FF000000"/>
      <name val="Arial"/>
      <family val="2"/>
    </font>
    <font>
      <b/>
      <sz val="8"/>
      <color theme="1"/>
      <name val="Arial"/>
      <family val="2"/>
    </font>
    <font>
      <sz val="11"/>
      <color rgb="FF000000"/>
      <name val="Calibri"/>
      <family val="2"/>
      <scheme val="minor"/>
    </font>
    <font>
      <sz val="9"/>
      <color theme="1"/>
      <name val="Arial"/>
      <family val="1"/>
      <charset val="2"/>
    </font>
    <font>
      <sz val="8"/>
      <color rgb="FFFF0000"/>
      <name val="Arial"/>
      <family val="2"/>
    </font>
    <font>
      <sz val="11"/>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s>
  <cellStyleXfs count="6">
    <xf numFmtId="0" fontId="0" fillId="0" borderId="0"/>
    <xf numFmtId="0" fontId="8" fillId="0" borderId="0" applyNumberFormat="0" applyFill="0" applyBorder="0" applyAlignment="0" applyProtection="0"/>
    <xf numFmtId="0" fontId="29" fillId="0" borderId="0"/>
    <xf numFmtId="43" fontId="32" fillId="0" borderId="0" applyFont="0" applyFill="0" applyBorder="0" applyAlignment="0" applyProtection="0"/>
    <xf numFmtId="0" fontId="32" fillId="0" borderId="0"/>
    <xf numFmtId="43" fontId="32" fillId="0" borderId="0" applyFont="0" applyFill="0" applyBorder="0" applyAlignment="0" applyProtection="0"/>
  </cellStyleXfs>
  <cellXfs count="175">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0" fontId="7" fillId="0" borderId="0" xfId="0" applyFont="1"/>
    <xf numFmtId="0" fontId="5" fillId="9" borderId="4" xfId="0" applyFont="1" applyFill="1" applyBorder="1"/>
    <xf numFmtId="0" fontId="0" fillId="9" borderId="0" xfId="0" applyFill="1"/>
    <xf numFmtId="0" fontId="10" fillId="9" borderId="0" xfId="0" applyFont="1" applyFill="1" applyBorder="1" applyAlignment="1">
      <alignment horizontal="left"/>
    </xf>
    <xf numFmtId="0" fontId="9" fillId="9" borderId="0" xfId="1" applyFont="1" applyFill="1" applyBorder="1" applyAlignment="1">
      <alignment horizontal="left"/>
    </xf>
    <xf numFmtId="0" fontId="5" fillId="9" borderId="0" xfId="0" applyFont="1" applyFill="1" applyBorder="1"/>
    <xf numFmtId="0" fontId="1" fillId="9" borderId="1" xfId="0" applyFont="1" applyFill="1" applyBorder="1" applyAlignment="1">
      <alignment horizontal="left"/>
    </xf>
    <xf numFmtId="0" fontId="11" fillId="9" borderId="0" xfId="0" applyFont="1" applyFill="1" applyAlignment="1">
      <alignment horizontal="left" vertical="center"/>
    </xf>
    <xf numFmtId="0" fontId="13" fillId="9" borderId="0" xfId="0" applyFont="1" applyFill="1" applyAlignment="1">
      <alignment vertical="center"/>
    </xf>
    <xf numFmtId="0" fontId="0" fillId="9" borderId="0" xfId="0" applyFill="1" applyAlignment="1"/>
    <xf numFmtId="0" fontId="14" fillId="9" borderId="0" xfId="0" applyFont="1" applyFill="1" applyAlignment="1">
      <alignment vertical="center"/>
    </xf>
    <xf numFmtId="0" fontId="16" fillId="9" borderId="0" xfId="0" applyFont="1" applyFill="1" applyAlignment="1">
      <alignment vertical="center" wrapText="1"/>
    </xf>
    <xf numFmtId="0" fontId="13" fillId="9" borderId="0" xfId="0" applyFont="1" applyFill="1" applyAlignment="1">
      <alignment vertical="center" wrapText="1"/>
    </xf>
    <xf numFmtId="0" fontId="11" fillId="9" borderId="0" xfId="0" applyFont="1" applyFill="1" applyAlignment="1">
      <alignment vertical="center"/>
    </xf>
    <xf numFmtId="0" fontId="17" fillId="9" borderId="0" xfId="0" applyFont="1" applyFill="1" applyAlignment="1">
      <alignment vertical="center"/>
    </xf>
    <xf numFmtId="0" fontId="0" fillId="9" borderId="0" xfId="0" applyFill="1" applyAlignment="1">
      <alignment vertical="center"/>
    </xf>
    <xf numFmtId="0" fontId="17" fillId="9" borderId="0" xfId="0" applyFont="1" applyFill="1" applyAlignment="1">
      <alignment horizontal="left" vertical="center"/>
    </xf>
    <xf numFmtId="0" fontId="15"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8" fillId="9" borderId="0" xfId="0" applyFont="1" applyFill="1" applyAlignment="1">
      <alignment horizontal="left" vertical="center"/>
    </xf>
    <xf numFmtId="0" fontId="18" fillId="9" borderId="0" xfId="0" applyFont="1" applyFill="1" applyAlignment="1">
      <alignment horizontal="left" vertical="center" wrapText="1"/>
    </xf>
    <xf numFmtId="0" fontId="15" fillId="9" borderId="0" xfId="0" applyFont="1" applyFill="1"/>
    <xf numFmtId="0" fontId="17" fillId="9" borderId="0" xfId="0" applyFont="1" applyFill="1" applyAlignment="1"/>
    <xf numFmtId="0" fontId="15" fillId="9" borderId="0" xfId="0" applyFont="1" applyFill="1" applyAlignment="1"/>
    <xf numFmtId="15" fontId="17" fillId="9" borderId="0" xfId="0" applyNumberFormat="1" applyFont="1" applyFill="1" applyAlignment="1"/>
    <xf numFmtId="0" fontId="0" fillId="0" borderId="0" xfId="0"/>
    <xf numFmtId="0" fontId="0" fillId="0" borderId="0" xfId="0"/>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1" fillId="9" borderId="1" xfId="0" applyFont="1" applyFill="1" applyBorder="1" applyAlignment="1">
      <alignment horizontal="center"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0" fontId="0" fillId="9" borderId="0" xfId="0" applyFill="1"/>
    <xf numFmtId="1" fontId="4" fillId="8" borderId="7" xfId="0" applyNumberFormat="1" applyFont="1" applyFill="1" applyBorder="1" applyAlignment="1">
      <alignment vertical="center"/>
    </xf>
    <xf numFmtId="1" fontId="4" fillId="8" borderId="1" xfId="0" applyNumberFormat="1" applyFont="1" applyFill="1" applyBorder="1" applyAlignment="1">
      <alignment vertical="center"/>
    </xf>
    <xf numFmtId="164" fontId="4" fillId="4" borderId="1" xfId="3" applyNumberFormat="1" applyFont="1" applyFill="1" applyBorder="1" applyAlignment="1">
      <alignment horizontal="center" vertical="center"/>
    </xf>
    <xf numFmtId="164" fontId="4" fillId="5" borderId="1" xfId="3" applyNumberFormat="1" applyFont="1" applyFill="1" applyBorder="1" applyAlignment="1">
      <alignment horizontal="center" vertical="center"/>
    </xf>
    <xf numFmtId="0" fontId="0" fillId="9" borderId="0" xfId="0" applyFill="1"/>
    <xf numFmtId="0" fontId="4" fillId="7" borderId="14" xfId="0" applyNumberFormat="1" applyFont="1" applyFill="1" applyBorder="1" applyAlignment="1">
      <alignment horizontal="left" vertical="center"/>
    </xf>
    <xf numFmtId="0" fontId="4" fillId="8" borderId="14" xfId="0" applyNumberFormat="1" applyFont="1" applyFill="1" applyBorder="1" applyAlignment="1">
      <alignment horizontal="left" vertical="center"/>
    </xf>
    <xf numFmtId="0" fontId="25" fillId="2" borderId="1" xfId="0" applyFont="1" applyFill="1" applyBorder="1" applyAlignment="1">
      <alignment horizontal="center" vertical="center" wrapText="1"/>
    </xf>
    <xf numFmtId="165" fontId="4" fillId="7" borderId="7" xfId="3" applyNumberFormat="1" applyFont="1" applyFill="1" applyBorder="1" applyAlignment="1">
      <alignment horizontal="center" vertical="center"/>
    </xf>
    <xf numFmtId="165" fontId="4" fillId="8" borderId="7" xfId="3" applyNumberFormat="1" applyFont="1" applyFill="1" applyBorder="1" applyAlignment="1">
      <alignment horizontal="center" vertical="center"/>
    </xf>
    <xf numFmtId="165" fontId="4" fillId="7" borderId="1" xfId="3" applyNumberFormat="1" applyFont="1" applyFill="1" applyBorder="1" applyAlignment="1">
      <alignment horizontal="center" vertical="center"/>
    </xf>
    <xf numFmtId="165" fontId="4" fillId="8" borderId="1" xfId="3" applyNumberFormat="1" applyFont="1" applyFill="1" applyBorder="1" applyAlignment="1">
      <alignment horizontal="center" vertical="center"/>
    </xf>
    <xf numFmtId="165" fontId="0" fillId="9" borderId="0" xfId="3" applyNumberFormat="1" applyFont="1" applyFill="1"/>
    <xf numFmtId="165" fontId="2" fillId="4" borderId="1" xfId="3" applyNumberFormat="1" applyFont="1" applyFill="1" applyBorder="1" applyAlignment="1">
      <alignment horizontal="center" vertical="center"/>
    </xf>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0" fontId="0" fillId="9" borderId="0" xfId="0" applyFill="1" applyAlignment="1">
      <alignment horizontal="left" vertical="top" wrapText="1"/>
    </xf>
    <xf numFmtId="165" fontId="4" fillId="8" borderId="7" xfId="3" applyNumberFormat="1" applyFont="1" applyFill="1" applyBorder="1" applyAlignment="1">
      <alignment vertical="center"/>
    </xf>
    <xf numFmtId="165" fontId="4" fillId="8" borderId="1" xfId="3" applyNumberFormat="1" applyFont="1" applyFill="1" applyBorder="1" applyAlignment="1">
      <alignment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32" fillId="9" borderId="0" xfId="4" applyFill="1"/>
    <xf numFmtId="0" fontId="15" fillId="9" borderId="0" xfId="4" applyFont="1" applyFill="1" applyAlignment="1">
      <alignment vertical="top" wrapText="1"/>
    </xf>
    <xf numFmtId="0" fontId="18" fillId="9" borderId="0" xfId="4" applyFont="1" applyFill="1" applyAlignment="1">
      <alignment vertical="center"/>
    </xf>
    <xf numFmtId="0" fontId="11" fillId="9" borderId="0" xfId="4" applyFont="1" applyFill="1" applyAlignment="1">
      <alignment vertical="center"/>
    </xf>
    <xf numFmtId="0" fontId="22" fillId="9" borderId="0" xfId="4" applyFont="1" applyFill="1" applyAlignment="1">
      <alignment horizontal="left" vertical="center" indent="2"/>
    </xf>
    <xf numFmtId="0" fontId="24" fillId="9" borderId="0" xfId="4" applyFont="1" applyFill="1" applyAlignment="1">
      <alignment vertical="center"/>
    </xf>
    <xf numFmtId="0" fontId="25" fillId="10" borderId="13" xfId="4" applyFont="1" applyFill="1" applyBorder="1" applyAlignment="1">
      <alignment horizontal="left" vertical="center"/>
    </xf>
    <xf numFmtId="0" fontId="26" fillId="6" borderId="6" xfId="4" applyFont="1" applyFill="1" applyBorder="1" applyAlignment="1">
      <alignment vertical="center" wrapText="1"/>
    </xf>
    <xf numFmtId="0" fontId="27" fillId="9" borderId="12"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32" fillId="9" borderId="0" xfId="4" applyFill="1" applyAlignment="1"/>
    <xf numFmtId="0" fontId="18"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2" xfId="4" applyFont="1" applyFill="1" applyBorder="1" applyAlignment="1">
      <alignment horizontal="left" vertical="center"/>
    </xf>
    <xf numFmtId="0" fontId="21" fillId="9" borderId="6" xfId="4" applyFont="1" applyFill="1" applyBorder="1" applyAlignment="1">
      <alignment vertical="center"/>
    </xf>
    <xf numFmtId="0" fontId="15" fillId="9" borderId="0" xfId="0" applyFont="1" applyFill="1" applyAlignment="1">
      <alignment vertical="center"/>
    </xf>
    <xf numFmtId="15" fontId="17" fillId="9" borderId="0" xfId="0" applyNumberFormat="1" applyFont="1" applyFill="1"/>
    <xf numFmtId="0" fontId="4" fillId="8" borderId="14" xfId="0" quotePrefix="1" applyNumberFormat="1" applyFont="1" applyFill="1" applyBorder="1" applyAlignment="1">
      <alignment horizontal="left" vertical="center"/>
    </xf>
    <xf numFmtId="0" fontId="25" fillId="2" borderId="1" xfId="0" applyFont="1" applyFill="1" applyBorder="1" applyAlignment="1">
      <alignment horizontal="center" vertical="center"/>
    </xf>
    <xf numFmtId="0" fontId="0" fillId="0" borderId="0" xfId="0"/>
    <xf numFmtId="0" fontId="30" fillId="0" borderId="0" xfId="0" applyFont="1"/>
    <xf numFmtId="0" fontId="19" fillId="9" borderId="0" xfId="0" applyFont="1" applyFill="1"/>
    <xf numFmtId="0" fontId="0" fillId="0" borderId="0" xfId="0"/>
    <xf numFmtId="0" fontId="11" fillId="9" borderId="0" xfId="0" applyFont="1" applyFill="1" applyAlignment="1">
      <alignment horizontal="left" vertical="center"/>
    </xf>
    <xf numFmtId="0" fontId="19" fillId="9" borderId="0" xfId="0" applyFont="1" applyFill="1" applyAlignment="1">
      <alignment horizontal="left" vertical="top" wrapText="1"/>
    </xf>
    <xf numFmtId="0" fontId="13" fillId="9" borderId="0" xfId="0" applyFont="1" applyFill="1" applyAlignment="1">
      <alignment horizontal="left" vertical="center" wrapText="1"/>
    </xf>
    <xf numFmtId="0" fontId="18" fillId="9" borderId="0" xfId="0" applyFont="1" applyFill="1" applyAlignment="1">
      <alignment horizontal="left" wrapText="1"/>
    </xf>
    <xf numFmtId="0" fontId="18" fillId="9" borderId="0" xfId="0" applyFont="1" applyFill="1" applyAlignment="1">
      <alignment horizontal="left" vertical="center" wrapText="1"/>
    </xf>
    <xf numFmtId="0" fontId="30" fillId="9" borderId="0" xfId="0" applyFont="1" applyFill="1"/>
    <xf numFmtId="0" fontId="11" fillId="9" borderId="0" xfId="0" applyFont="1" applyFill="1" applyAlignment="1">
      <alignment horizontal="left" vertical="center"/>
    </xf>
    <xf numFmtId="0" fontId="19" fillId="9" borderId="0" xfId="0" applyFont="1" applyFill="1" applyAlignment="1">
      <alignment horizontal="left" vertical="top" wrapText="1"/>
    </xf>
    <xf numFmtId="0" fontId="19" fillId="9" borderId="0" xfId="0" applyFont="1" applyFill="1" applyAlignment="1">
      <alignment vertical="top"/>
    </xf>
    <xf numFmtId="0" fontId="2" fillId="4" borderId="0" xfId="0" applyFont="1" applyFill="1" applyBorder="1" applyAlignment="1">
      <alignment horizontal="center" vertical="center" wrapText="1"/>
    </xf>
    <xf numFmtId="0" fontId="0" fillId="0" borderId="0" xfId="0"/>
    <xf numFmtId="0" fontId="0" fillId="0" borderId="0" xfId="0"/>
    <xf numFmtId="0" fontId="3" fillId="6" borderId="15" xfId="0" applyNumberFormat="1" applyFont="1" applyFill="1" applyBorder="1" applyAlignment="1">
      <alignment vertical="center" wrapText="1"/>
    </xf>
    <xf numFmtId="0" fontId="4" fillId="7" borderId="15" xfId="0" applyNumberFormat="1" applyFont="1" applyFill="1" applyBorder="1" applyAlignment="1">
      <alignment vertical="center" wrapText="1"/>
    </xf>
    <xf numFmtId="0" fontId="4" fillId="8" borderId="14" xfId="0" applyNumberFormat="1" applyFont="1" applyFill="1" applyBorder="1" applyAlignment="1">
      <alignment vertical="center" wrapText="1"/>
    </xf>
    <xf numFmtId="0" fontId="4" fillId="8" borderId="15" xfId="0" applyNumberFormat="1" applyFont="1" applyFill="1" applyBorder="1" applyAlignment="1">
      <alignment vertical="center" wrapText="1"/>
    </xf>
    <xf numFmtId="0" fontId="4" fillId="7" borderId="14" xfId="0" applyNumberFormat="1" applyFont="1" applyFill="1" applyBorder="1" applyAlignment="1">
      <alignment vertical="center" wrapText="1"/>
    </xf>
    <xf numFmtId="0" fontId="4" fillId="8" borderId="15" xfId="0" applyNumberFormat="1" applyFont="1" applyFill="1" applyBorder="1" applyAlignment="1">
      <alignment horizontal="center" vertical="center" wrapText="1"/>
    </xf>
    <xf numFmtId="0" fontId="4" fillId="7" borderId="15" xfId="0" applyNumberFormat="1" applyFont="1" applyFill="1" applyBorder="1" applyAlignment="1">
      <alignment horizontal="center" vertical="center" wrapText="1"/>
    </xf>
    <xf numFmtId="0" fontId="0" fillId="0" borderId="0" xfId="0"/>
    <xf numFmtId="0" fontId="0" fillId="0" borderId="0" xfId="0"/>
    <xf numFmtId="0" fontId="13" fillId="9" borderId="0" xfId="0" applyFont="1" applyFill="1" applyAlignment="1">
      <alignment horizontal="left" vertical="center" wrapText="1"/>
    </xf>
    <xf numFmtId="0" fontId="13" fillId="9" borderId="0" xfId="0" applyFont="1" applyFill="1" applyAlignment="1">
      <alignment horizontal="left" vertical="center"/>
    </xf>
    <xf numFmtId="0" fontId="34" fillId="0" borderId="0" xfId="0" applyFont="1" applyAlignment="1">
      <alignment horizontal="left" vertical="top" wrapText="1"/>
    </xf>
    <xf numFmtId="0" fontId="9" fillId="9" borderId="9" xfId="1" applyFont="1" applyFill="1" applyBorder="1" applyAlignment="1">
      <alignment horizontal="left"/>
    </xf>
    <xf numFmtId="0" fontId="9" fillId="9" borderId="10" xfId="1" applyFont="1" applyFill="1" applyBorder="1" applyAlignment="1">
      <alignment horizontal="left"/>
    </xf>
    <xf numFmtId="0" fontId="9" fillId="9" borderId="11" xfId="1" applyFont="1" applyFill="1" applyBorder="1" applyAlignment="1">
      <alignment horizontal="left"/>
    </xf>
    <xf numFmtId="0" fontId="11" fillId="9" borderId="0" xfId="0" applyFont="1" applyFill="1" applyAlignment="1">
      <alignment horizontal="left" vertical="center"/>
    </xf>
    <xf numFmtId="0" fontId="15" fillId="9" borderId="0" xfId="0" applyFont="1" applyFill="1" applyAlignment="1">
      <alignment horizontal="left" vertical="center" wrapText="1"/>
    </xf>
    <xf numFmtId="0" fontId="4" fillId="0" borderId="0" xfId="0" applyFont="1" applyAlignment="1">
      <alignment wrapText="1"/>
    </xf>
    <xf numFmtId="0" fontId="0" fillId="0" borderId="0" xfId="0"/>
    <xf numFmtId="0" fontId="13" fillId="9" borderId="0" xfId="0" applyFont="1" applyFill="1" applyAlignment="1">
      <alignment horizontal="left" vertical="center" wrapText="1"/>
    </xf>
    <xf numFmtId="0" fontId="19" fillId="9" borderId="0" xfId="0" applyFont="1" applyFill="1" applyAlignment="1">
      <alignment horizontal="left" vertical="top" wrapText="1"/>
    </xf>
    <xf numFmtId="0" fontId="18" fillId="9" borderId="0" xfId="0" applyFont="1" applyFill="1" applyAlignment="1">
      <alignment horizontal="left" wrapText="1"/>
    </xf>
    <xf numFmtId="0" fontId="13" fillId="9" borderId="0" xfId="0" applyFont="1" applyFill="1" applyAlignment="1">
      <alignment horizontal="left" vertical="center"/>
    </xf>
    <xf numFmtId="0" fontId="15" fillId="9" borderId="0" xfId="0" applyFont="1" applyFill="1" applyAlignment="1">
      <alignment horizontal="left" wrapText="1"/>
    </xf>
    <xf numFmtId="0" fontId="18" fillId="9" borderId="0" xfId="0" applyFont="1" applyFill="1" applyAlignment="1">
      <alignment horizontal="left" vertical="center" wrapText="1"/>
    </xf>
    <xf numFmtId="0" fontId="27" fillId="0" borderId="0" xfId="0" applyFont="1" applyAlignment="1">
      <alignment horizontal="left" vertical="top" wrapText="1"/>
    </xf>
    <xf numFmtId="0" fontId="35" fillId="0" borderId="0" xfId="0" applyFont="1" applyAlignment="1">
      <alignment horizontal="left" vertical="top"/>
    </xf>
    <xf numFmtId="0" fontId="5" fillId="9" borderId="0" xfId="0" applyFont="1" applyFill="1" applyAlignment="1">
      <alignment horizontal="left" vertical="top" wrapText="1"/>
    </xf>
    <xf numFmtId="0" fontId="0" fillId="9" borderId="0" xfId="0" applyFill="1" applyAlignment="1">
      <alignment horizontal="left" vertical="top" wrapText="1"/>
    </xf>
    <xf numFmtId="0" fontId="27" fillId="0" borderId="0" xfId="0" applyFont="1" applyAlignment="1">
      <alignment wrapText="1"/>
    </xf>
    <xf numFmtId="0" fontId="35" fillId="0" borderId="0" xfId="0" applyFont="1"/>
    <xf numFmtId="0" fontId="18"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25" fillId="10" borderId="12" xfId="4" applyFont="1" applyFill="1" applyBorder="1" applyAlignment="1">
      <alignment horizontal="left" vertical="center"/>
    </xf>
    <xf numFmtId="0" fontId="25" fillId="10" borderId="0" xfId="4" applyFont="1" applyFill="1" applyBorder="1" applyAlignment="1">
      <alignment horizontal="left" vertical="center"/>
    </xf>
    <xf numFmtId="0" fontId="33" fillId="9" borderId="0" xfId="4" applyFont="1" applyFill="1" applyAlignment="1">
      <alignment horizontal="left" vertical="center" wrapText="1" indent="2"/>
    </xf>
    <xf numFmtId="0" fontId="18" fillId="9" borderId="0" xfId="4" applyFont="1" applyFill="1" applyAlignment="1">
      <alignment horizontal="left" vertical="center" wrapText="1" indent="2"/>
    </xf>
    <xf numFmtId="0" fontId="22" fillId="9" borderId="0" xfId="4" applyFont="1" applyFill="1" applyAlignment="1">
      <alignment horizontal="left" vertical="center" wrapText="1"/>
    </xf>
    <xf numFmtId="0" fontId="27" fillId="9" borderId="12"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6">
    <cellStyle name="Comma" xfId="3" builtinId="3"/>
    <cellStyle name="Comma 2" xfId="5" xr:uid="{00000000-0005-0000-0000-000033000000}"/>
    <cellStyle name="Hyperlink" xfId="1" builtinId="8"/>
    <cellStyle name="Normal" xfId="0" builtinId="0"/>
    <cellStyle name="Normal 2" xfId="2" xr:uid="{00000000-0005-0000-0000-000003000000}"/>
    <cellStyle name="Normal 2 2" xfId="4" xr:uid="{2C0D4C46-7D19-4CEE-9E9A-B8DEF40ACA07}"/>
  </cellStyles>
  <dxfs count="145">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'Queensland Summary'!$B$68</c:f>
              <c:strCache>
                <c:ptCount val="1"/>
                <c:pt idx="0">
                  <c:v>Existing less Announced Withdrawal</c:v>
                </c:pt>
              </c:strCache>
            </c:strRef>
          </c:tx>
          <c:spPr>
            <a:solidFill>
              <a:schemeClr val="accent6">
                <a:lumMod val="75000"/>
              </a:schemeClr>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Summary'!$C$68:$L$68</c:f>
              <c:numCache>
                <c:formatCode>_-* #,##0_-;\-* #,##0_-;_-* "-"??_-;_-@_-</c:formatCode>
                <c:ptCount val="10"/>
                <c:pt idx="0">
                  <c:v>8186</c:v>
                </c:pt>
                <c:pt idx="1">
                  <c:v>1595.5</c:v>
                </c:pt>
                <c:pt idx="2">
                  <c:v>1860.5</c:v>
                </c:pt>
                <c:pt idx="3">
                  <c:v>208.37</c:v>
                </c:pt>
                <c:pt idx="4">
                  <c:v>716.42650000000003</c:v>
                </c:pt>
                <c:pt idx="5">
                  <c:v>12</c:v>
                </c:pt>
                <c:pt idx="6">
                  <c:v>738.19999999999993</c:v>
                </c:pt>
                <c:pt idx="7">
                  <c:v>419.19000000000005</c:v>
                </c:pt>
                <c:pt idx="8">
                  <c:v>0</c:v>
                </c:pt>
                <c:pt idx="9">
                  <c:v>1</c:v>
                </c:pt>
              </c:numCache>
            </c:numRef>
          </c:val>
          <c:extLst>
            <c:ext xmlns:c16="http://schemas.microsoft.com/office/drawing/2014/chart" uri="{C3380CC4-5D6E-409C-BE32-E72D297353CC}">
              <c16:uniqueId val="{00000001-A3D1-482D-B116-277E85E54BB3}"/>
            </c:ext>
          </c:extLst>
        </c:ser>
        <c:ser>
          <c:idx val="0"/>
          <c:order val="1"/>
          <c:tx>
            <c:strRef>
              <c:f>'Queensland Summary'!$B$67</c:f>
              <c:strCache>
                <c:ptCount val="1"/>
                <c:pt idx="0">
                  <c:v>Announced Withdrawal</c:v>
                </c:pt>
              </c:strCache>
            </c:strRef>
          </c:tx>
          <c:spPr>
            <a:solidFill>
              <a:srgbClr val="FFC000"/>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Summary'!$C$67:$L$67</c:f>
              <c:numCache>
                <c:formatCode>_-* #,##0_-;\-* #,##0_-;_-* "-"??_-;_-@_-</c:formatCode>
                <c:ptCount val="10"/>
                <c:pt idx="0">
                  <c:v>0</c:v>
                </c:pt>
                <c:pt idx="1">
                  <c:v>0</c:v>
                </c:pt>
                <c:pt idx="2">
                  <c:v>34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'Queensland Summary'!$B$69</c:f>
              <c:strCache>
                <c:ptCount val="1"/>
                <c:pt idx="0">
                  <c:v>Committed</c:v>
                </c:pt>
              </c:strCache>
            </c:strRef>
          </c:tx>
          <c:spPr>
            <a:solidFill>
              <a:schemeClr val="tx2"/>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Summary'!$C$69:$L$69</c:f>
              <c:numCache>
                <c:formatCode>_-* #,##0_-;\-* #,##0_-;_-* "-"??_-;_-@_-</c:formatCode>
                <c:ptCount val="10"/>
                <c:pt idx="0">
                  <c:v>0</c:v>
                </c:pt>
                <c:pt idx="1">
                  <c:v>0</c:v>
                </c:pt>
                <c:pt idx="2">
                  <c:v>0</c:v>
                </c:pt>
                <c:pt idx="3">
                  <c:v>0</c:v>
                </c:pt>
                <c:pt idx="4">
                  <c:v>1194.95</c:v>
                </c:pt>
                <c:pt idx="5">
                  <c:v>676.7</c:v>
                </c:pt>
                <c:pt idx="6">
                  <c:v>0</c:v>
                </c:pt>
                <c:pt idx="7">
                  <c:v>24</c:v>
                </c:pt>
                <c:pt idx="8">
                  <c:v>2</c:v>
                </c:pt>
                <c:pt idx="9">
                  <c:v>0</c:v>
                </c:pt>
              </c:numCache>
            </c:numRef>
          </c:val>
          <c:extLst>
            <c:ext xmlns:c16="http://schemas.microsoft.com/office/drawing/2014/chart" uri="{C3380CC4-5D6E-409C-BE32-E72D297353CC}">
              <c16:uniqueId val="{00000002-A3D1-482D-B116-277E85E54BB3}"/>
            </c:ext>
          </c:extLst>
        </c:ser>
        <c:ser>
          <c:idx val="3"/>
          <c:order val="3"/>
          <c:tx>
            <c:strRef>
              <c:f>'Queensland Summary'!$B$70</c:f>
              <c:strCache>
                <c:ptCount val="1"/>
                <c:pt idx="0">
                  <c:v>Proposed</c:v>
                </c:pt>
              </c:strCache>
            </c:strRef>
          </c:tx>
          <c:spPr>
            <a:solidFill>
              <a:schemeClr val="accent1">
                <a:lumMod val="40000"/>
                <a:lumOff val="60000"/>
              </a:schemeClr>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Summary'!$C$70:$L$70</c:f>
              <c:numCache>
                <c:formatCode>_-* #,##0_-;\-* #,##0_-;_-* "-"??_-;_-@_-</c:formatCode>
                <c:ptCount val="10"/>
                <c:pt idx="0">
                  <c:v>0</c:v>
                </c:pt>
                <c:pt idx="1">
                  <c:v>0</c:v>
                </c:pt>
                <c:pt idx="2">
                  <c:v>132</c:v>
                </c:pt>
                <c:pt idx="3">
                  <c:v>15.205</c:v>
                </c:pt>
                <c:pt idx="4">
                  <c:v>11501.62672</c:v>
                </c:pt>
                <c:pt idx="5">
                  <c:v>1188.4000000000001</c:v>
                </c:pt>
                <c:pt idx="6">
                  <c:v>250</c:v>
                </c:pt>
                <c:pt idx="7">
                  <c:v>189.6</c:v>
                </c:pt>
                <c:pt idx="8">
                  <c:v>3120</c:v>
                </c:pt>
                <c:pt idx="9">
                  <c:v>0</c:v>
                </c:pt>
              </c:numCache>
            </c:numRef>
          </c:val>
          <c:extLst>
            <c:ext xmlns:c16="http://schemas.microsoft.com/office/drawing/2014/chart" uri="{C3380CC4-5D6E-409C-BE32-E72D297353CC}">
              <c16:uniqueId val="{00000003-A3D1-482D-B116-277E85E54BB3}"/>
            </c:ext>
          </c:extLst>
        </c:ser>
        <c:ser>
          <c:idx val="4"/>
          <c:order val="4"/>
          <c:tx>
            <c:strRef>
              <c:f>'Queensland Summary'!$B$71</c:f>
              <c:strCache>
                <c:ptCount val="1"/>
                <c:pt idx="0">
                  <c:v>Withdrawn</c:v>
                </c:pt>
              </c:strCache>
            </c:strRef>
          </c:tx>
          <c:spPr>
            <a:solidFill>
              <a:schemeClr val="accent2"/>
            </a:solidFill>
            <a:ln>
              <a:noFill/>
            </a:ln>
            <a:effectLst/>
          </c:spPr>
          <c:invertIfNegative val="0"/>
          <c:cat>
            <c:strRef>
              <c:f>'Queensland Summary'!$C$65:$L$65</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Summary'!$C$71:$L$71</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42</xdr:row>
      <xdr:rowOff>157161</xdr:rowOff>
    </xdr:from>
    <xdr:to>
      <xdr:col>12</xdr:col>
      <xdr:colOff>571499</xdr:colOff>
      <xdr:row>63</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1" totalsRowShown="0" headerRowDxfId="144" headerRowBorderDxfId="143">
  <tableColumns count="12">
    <tableColumn id="1" xr3:uid="{00000000-0010-0000-0000-000001000000}" name="Power Station" dataDxfId="142"/>
    <tableColumn id="2" xr3:uid="{00000000-0010-0000-0000-000002000000}" name="Owner" dataDxfId="141"/>
    <tableColumn id="3" xr3:uid="{FA6E0990-7635-4511-A83F-62B9B1064EF0}" name="Unit Number and Nameplate Capacity (MW)" dataDxfId="140"/>
    <tableColumn id="4" xr3:uid="{4A75EEE3-966F-4377-BEB6-F95CE4A6BD37}" name="Nameplate Capacity (MW)" dataDxfId="139"/>
    <tableColumn id="5" xr3:uid="{00000000-0010-0000-0000-000005000000}" name="Technology Type" dataDxfId="138"/>
    <tableColumn id="6" xr3:uid="{00000000-0010-0000-0000-000006000000}" name="Fuel Type" dataDxfId="137"/>
    <tableColumn id="7" xr3:uid="{00000000-0010-0000-0000-000007000000}" name="Dispatch Type" dataDxfId="136"/>
    <tableColumn id="8" xr3:uid="{00000000-0010-0000-0000-000008000000}" name="Service Status" dataDxfId="135"/>
    <tableColumn id="12" xr3:uid="{36FA4B56-6246-4D53-8DA5-2391137DE7F8}" name="Closure Date" dataDxfId="134"/>
    <tableColumn id="9" xr3:uid="{00000000-0010-0000-0000-000009000000}" name="Region" dataDxfId="133"/>
    <tableColumn id="10" xr3:uid="{00000000-0010-0000-0000-00000A000000}" name="summary_status" dataDxfId="132"/>
    <tableColumn id="11" xr3:uid="{00000000-0010-0000-0000-00000B000000}" name="summary_bucket" dataDxfId="1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52" totalsRowShown="0" headerRowDxfId="130" headerRowBorderDxfId="129">
  <autoFilter ref="A2:O52" xr:uid="{0238D13D-51DC-45E8-AB53-0341ED69A11A}"/>
  <tableColumns count="15">
    <tableColumn id="1" xr3:uid="{00000000-0010-0000-0100-000001000000}" name="Power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62:O84" totalsRowShown="0" headerRowDxfId="113" headerRowBorderDxfId="112">
  <autoFilter ref="A62:O84" xr:uid="{D5F7583E-2671-43F8-8F24-B4FB48F0D650}"/>
  <tableColumns count="15">
    <tableColumn id="1" xr3:uid="{00000000-0010-0000-0200-000001000000}" name="Power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91:O119" totalsRowShown="0" headerRowDxfId="96" headerRowBorderDxfId="95">
  <autoFilter ref="A91:O119" xr:uid="{C41C418A-FD6D-4C10-813E-1F16EC8CB05D}"/>
  <tableColumns count="15">
    <tableColumn id="1" xr3:uid="{00000000-0010-0000-0300-000001000000}" name="Power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incapsalltable" displayName="wiincapsalltable" ref="A2:O52" totalsRowShown="0" headerRowDxfId="79" headerRowBorderDxfId="78">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62:O84" totalsRowShown="0" headerRowDxfId="62" headerRowBorderDxfId="61">
  <autoFilter ref="A62:O84" xr:uid="{860952AD-9213-4DEA-A28E-351613758FC6}"/>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Query2" displayName="Query2" ref="A91:O119" totalsRowShown="0" headerRowDxfId="45" headerRowBorderDxfId="44">
  <autoFilter ref="A91:O119" xr:uid="{40DBB5B7-42E1-4B77-8829-EEEA3236DC10}"/>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71" totalsRowShown="0" headerRowDxfId="28" headerRowBorderDxfId="27">
  <autoFilter ref="A2:I71" xr:uid="{936E9EF7-AA3B-420F-BC2B-A777B16F6229}"/>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1558B3FF-3340-4F60-8E72-195DD6BB0829}"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7"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showGridLines="0" tabSelected="1" zoomScaleNormal="100" workbookViewId="0"/>
  </sheetViews>
  <sheetFormatPr defaultRowHeight="15"/>
  <cols>
    <col min="1" max="1" width="4.7109375" customWidth="1"/>
    <col min="2" max="2" width="40.7109375" customWidth="1"/>
    <col min="11" max="11" width="9.140625" style="8"/>
  </cols>
  <sheetData>
    <row r="1" spans="1:13" ht="15.75" thickBot="1">
      <c r="A1" s="23" t="s">
        <v>20</v>
      </c>
    </row>
    <row r="2" spans="1:13" ht="16.5" thickTop="1" thickBot="1">
      <c r="B2" s="4" t="s">
        <v>220</v>
      </c>
      <c r="C2" s="3"/>
      <c r="D2" s="3"/>
      <c r="E2" s="3"/>
      <c r="F2" s="3"/>
      <c r="G2" s="3"/>
      <c r="H2" s="3"/>
      <c r="I2" s="3"/>
      <c r="J2" s="5"/>
      <c r="K2" s="9"/>
    </row>
    <row r="3" spans="1:13">
      <c r="B3" s="5" t="s">
        <v>221</v>
      </c>
      <c r="J3" s="5"/>
      <c r="K3" s="9"/>
    </row>
    <row r="4" spans="1:13">
      <c r="B4" s="24" t="s">
        <v>428</v>
      </c>
      <c r="C4" s="25"/>
      <c r="D4" s="25"/>
      <c r="E4" s="25"/>
      <c r="F4" s="25"/>
      <c r="G4" s="25"/>
      <c r="H4" s="25"/>
      <c r="I4" s="25"/>
      <c r="J4" s="5"/>
      <c r="K4" s="9"/>
    </row>
    <row r="5" spans="1:13" ht="15.75" thickBot="1">
      <c r="B5" s="145" t="s">
        <v>429</v>
      </c>
      <c r="C5" s="146"/>
      <c r="D5" s="146"/>
      <c r="E5" s="146"/>
      <c r="F5" s="146"/>
      <c r="G5" s="146"/>
      <c r="H5" s="146"/>
      <c r="I5" s="147"/>
      <c r="J5" s="5"/>
      <c r="K5" s="9"/>
    </row>
    <row r="6" spans="1:13" ht="15.75" thickTop="1">
      <c r="B6" s="3"/>
      <c r="C6" s="3"/>
      <c r="D6" s="3"/>
      <c r="E6" s="3"/>
      <c r="F6" s="3"/>
      <c r="G6" s="3"/>
      <c r="H6" s="3"/>
      <c r="I6" s="3"/>
    </row>
    <row r="7" spans="1:13">
      <c r="B7" s="26" t="s">
        <v>790</v>
      </c>
      <c r="C7" s="27"/>
      <c r="D7" s="27"/>
      <c r="E7" s="27"/>
      <c r="F7" s="27"/>
      <c r="G7" s="27"/>
      <c r="H7" s="27"/>
      <c r="I7" s="27"/>
      <c r="J7" s="28"/>
      <c r="K7" s="25"/>
      <c r="L7" s="25"/>
      <c r="M7" s="25"/>
    </row>
    <row r="8" spans="1:13" s="12" customFormat="1" ht="12.75" customHeight="1" thickBot="1">
      <c r="B8" s="28"/>
      <c r="C8" s="28"/>
      <c r="D8" s="28"/>
      <c r="E8" s="28"/>
      <c r="F8" s="28"/>
      <c r="G8" s="28"/>
      <c r="H8" s="28"/>
      <c r="I8" s="28"/>
      <c r="J8" s="25"/>
      <c r="K8" s="25"/>
      <c r="L8" s="25"/>
      <c r="M8" s="25"/>
    </row>
    <row r="9" spans="1:13" s="12" customFormat="1" ht="20.25" thickBot="1">
      <c r="B9" s="29" t="s">
        <v>430</v>
      </c>
      <c r="C9" s="25"/>
      <c r="D9" s="25"/>
      <c r="E9" s="25"/>
      <c r="F9" s="25"/>
      <c r="G9" s="25"/>
      <c r="H9" s="25"/>
      <c r="I9" s="25"/>
      <c r="J9" s="25"/>
      <c r="K9" s="25"/>
      <c r="L9" s="25"/>
      <c r="M9" s="25"/>
    </row>
    <row r="10" spans="1:13" s="12" customFormat="1">
      <c r="B10" s="25"/>
      <c r="C10" s="25"/>
      <c r="D10" s="25"/>
      <c r="E10" s="25"/>
      <c r="F10" s="25"/>
      <c r="G10" s="25"/>
      <c r="H10" s="25"/>
      <c r="I10" s="25"/>
      <c r="J10" s="25"/>
      <c r="K10" s="25"/>
      <c r="L10" s="25"/>
      <c r="M10" s="25"/>
    </row>
    <row r="11" spans="1:13" s="12" customFormat="1">
      <c r="B11" s="30" t="s">
        <v>431</v>
      </c>
      <c r="C11" s="25"/>
      <c r="D11" s="25"/>
      <c r="E11" s="25"/>
      <c r="F11" s="25"/>
      <c r="G11" s="25"/>
      <c r="H11" s="25"/>
      <c r="I11" s="25"/>
      <c r="J11" s="25"/>
      <c r="K11" s="25"/>
      <c r="L11" s="25"/>
      <c r="M11" s="25"/>
    </row>
    <row r="12" spans="1:13" s="49" customFormat="1">
      <c r="B12" s="129" t="s">
        <v>757</v>
      </c>
      <c r="C12" s="129"/>
      <c r="D12" s="129"/>
      <c r="E12" s="129"/>
      <c r="F12" s="129"/>
      <c r="G12" s="129"/>
      <c r="H12" s="129"/>
      <c r="I12" s="129"/>
      <c r="J12" s="129"/>
      <c r="K12" s="129"/>
      <c r="L12" s="129"/>
      <c r="M12" s="129"/>
    </row>
    <row r="13" spans="1:13" s="120" customFormat="1">
      <c r="B13" s="118" t="s">
        <v>752</v>
      </c>
      <c r="C13" s="31"/>
      <c r="D13" s="31"/>
      <c r="E13" s="31"/>
      <c r="F13" s="31"/>
      <c r="G13" s="31"/>
      <c r="H13" s="31"/>
      <c r="I13" s="31"/>
      <c r="J13" s="31"/>
      <c r="K13" s="31"/>
      <c r="L13" s="31"/>
      <c r="M13" s="32"/>
    </row>
    <row r="14" spans="1:13" s="131" customFormat="1">
      <c r="B14" s="118" t="s">
        <v>763</v>
      </c>
      <c r="C14" s="31"/>
      <c r="D14" s="31"/>
      <c r="E14" s="31"/>
      <c r="F14" s="31"/>
      <c r="G14" s="31"/>
      <c r="H14" s="31"/>
      <c r="I14" s="31"/>
      <c r="J14" s="31"/>
      <c r="K14" s="31"/>
      <c r="L14" s="31"/>
      <c r="M14" s="32"/>
    </row>
    <row r="15" spans="1:13" s="132" customFormat="1">
      <c r="B15" s="118" t="s">
        <v>776</v>
      </c>
      <c r="C15" s="31"/>
      <c r="D15" s="31"/>
      <c r="E15" s="31"/>
      <c r="F15" s="31"/>
      <c r="G15" s="31"/>
      <c r="H15" s="31"/>
      <c r="I15" s="31"/>
      <c r="J15" s="31"/>
      <c r="K15" s="31"/>
      <c r="L15" s="31"/>
      <c r="M15" s="32"/>
    </row>
    <row r="16" spans="1:13" s="140" customFormat="1">
      <c r="B16" s="118" t="s">
        <v>735</v>
      </c>
      <c r="C16" s="31"/>
      <c r="D16" s="31"/>
      <c r="E16" s="31"/>
      <c r="F16" s="31"/>
      <c r="G16" s="31"/>
      <c r="H16" s="31"/>
      <c r="I16" s="31"/>
      <c r="J16" s="31"/>
      <c r="K16" s="31"/>
      <c r="L16" s="31"/>
      <c r="M16" s="32"/>
    </row>
    <row r="17" spans="2:13" s="117" customFormat="1">
      <c r="B17" s="118" t="s">
        <v>785</v>
      </c>
      <c r="C17" s="31"/>
      <c r="D17" s="31"/>
      <c r="E17" s="31"/>
      <c r="F17" s="31"/>
      <c r="G17" s="31"/>
      <c r="H17" s="31"/>
      <c r="I17" s="31"/>
      <c r="J17" s="31"/>
      <c r="K17" s="31"/>
      <c r="L17" s="31"/>
      <c r="M17" s="32"/>
    </row>
    <row r="18" spans="2:13" s="141" customFormat="1">
      <c r="B18" s="118"/>
      <c r="C18" s="31"/>
      <c r="D18" s="31"/>
      <c r="E18" s="31"/>
      <c r="F18" s="31"/>
      <c r="G18" s="31"/>
      <c r="H18" s="31"/>
      <c r="I18" s="31"/>
      <c r="J18" s="31"/>
      <c r="K18" s="31"/>
      <c r="L18" s="31"/>
      <c r="M18" s="32"/>
    </row>
    <row r="19" spans="2:13" s="141" customFormat="1">
      <c r="B19" s="142" t="s">
        <v>791</v>
      </c>
      <c r="C19" s="31"/>
      <c r="D19" s="31"/>
      <c r="E19" s="31"/>
      <c r="F19" s="31"/>
      <c r="G19" s="31"/>
      <c r="H19" s="31"/>
      <c r="I19" s="31"/>
      <c r="J19" s="31"/>
      <c r="K19" s="31"/>
      <c r="L19" s="31"/>
      <c r="M19" s="32"/>
    </row>
    <row r="20" spans="2:13" s="141" customFormat="1">
      <c r="B20" s="143" t="s">
        <v>792</v>
      </c>
      <c r="C20" s="31"/>
      <c r="D20" s="31"/>
      <c r="E20" s="31"/>
      <c r="F20" s="31"/>
      <c r="G20" s="31"/>
      <c r="H20" s="31"/>
      <c r="I20" s="31"/>
      <c r="J20" s="31"/>
      <c r="K20" s="31"/>
      <c r="L20" s="31"/>
      <c r="M20" s="32"/>
    </row>
    <row r="21" spans="2:13" s="141" customFormat="1">
      <c r="B21" s="142"/>
      <c r="C21" s="31"/>
      <c r="D21" s="31"/>
      <c r="E21" s="31"/>
      <c r="F21" s="31"/>
      <c r="G21" s="31"/>
      <c r="H21" s="31"/>
      <c r="I21" s="31"/>
      <c r="J21" s="31"/>
      <c r="K21" s="31"/>
      <c r="L21" s="31"/>
      <c r="M21" s="32"/>
    </row>
    <row r="22" spans="2:13" s="12" customFormat="1">
      <c r="B22" s="148" t="s">
        <v>432</v>
      </c>
      <c r="C22" s="148"/>
      <c r="D22" s="148"/>
      <c r="E22" s="148"/>
      <c r="F22" s="148"/>
      <c r="G22" s="25"/>
      <c r="H22" s="25"/>
      <c r="I22" s="25"/>
      <c r="J22" s="25"/>
      <c r="K22" s="25"/>
      <c r="L22" s="25"/>
      <c r="M22" s="25"/>
    </row>
    <row r="23" spans="2:13" s="12" customFormat="1">
      <c r="B23" s="33" t="s">
        <v>231</v>
      </c>
      <c r="C23" s="25"/>
      <c r="D23" s="25"/>
      <c r="E23" s="25"/>
      <c r="F23" s="25"/>
      <c r="G23" s="25"/>
      <c r="H23" s="25"/>
      <c r="I23" s="25"/>
      <c r="J23" s="25"/>
      <c r="K23" s="25"/>
      <c r="L23" s="25"/>
      <c r="M23" s="25"/>
    </row>
    <row r="24" spans="2:13" s="12" customFormat="1">
      <c r="B24" s="149" t="s">
        <v>433</v>
      </c>
      <c r="C24" s="149"/>
      <c r="D24" s="149"/>
      <c r="E24" s="149"/>
      <c r="F24" s="149"/>
      <c r="G24" s="149"/>
      <c r="H24" s="149"/>
      <c r="I24" s="149"/>
      <c r="J24" s="149"/>
      <c r="K24" s="34"/>
      <c r="L24" s="35"/>
      <c r="M24" s="35"/>
    </row>
    <row r="25" spans="2:13" s="12" customFormat="1">
      <c r="B25" s="36"/>
      <c r="C25" s="25"/>
      <c r="D25" s="25"/>
      <c r="E25" s="25"/>
      <c r="F25" s="25"/>
      <c r="G25" s="25"/>
      <c r="H25" s="25"/>
      <c r="I25" s="25"/>
      <c r="J25" s="25"/>
      <c r="K25" s="25"/>
      <c r="L25" s="25"/>
      <c r="M25" s="25"/>
    </row>
    <row r="26" spans="2:13" s="12" customFormat="1">
      <c r="B26" s="33" t="s">
        <v>434</v>
      </c>
      <c r="C26" s="25"/>
      <c r="D26" s="25"/>
      <c r="E26" s="25"/>
      <c r="F26" s="25"/>
      <c r="G26" s="25"/>
      <c r="H26" s="25"/>
      <c r="I26" s="25"/>
      <c r="J26" s="25"/>
      <c r="K26" s="25"/>
      <c r="L26" s="25"/>
      <c r="M26" s="25"/>
    </row>
    <row r="27" spans="2:13" s="12" customFormat="1">
      <c r="B27" s="37" t="s">
        <v>435</v>
      </c>
      <c r="C27" s="38"/>
      <c r="D27" s="38"/>
      <c r="E27" s="38"/>
      <c r="F27" s="38"/>
      <c r="G27" s="38"/>
      <c r="H27" s="38"/>
      <c r="I27" s="38"/>
      <c r="J27" s="39"/>
      <c r="K27" s="39"/>
      <c r="L27" s="39"/>
      <c r="M27" s="39"/>
    </row>
    <row r="28" spans="2:13" s="12" customFormat="1">
      <c r="B28" s="36"/>
      <c r="C28" s="25"/>
      <c r="D28" s="25"/>
      <c r="E28" s="25"/>
      <c r="F28" s="25"/>
      <c r="G28" s="25"/>
      <c r="H28" s="25"/>
      <c r="I28" s="25"/>
      <c r="J28" s="25"/>
      <c r="K28" s="25"/>
      <c r="L28" s="25"/>
      <c r="M28" s="25"/>
    </row>
    <row r="29" spans="2:13" s="12" customFormat="1">
      <c r="B29" s="36" t="s">
        <v>436</v>
      </c>
      <c r="C29" s="25"/>
      <c r="D29" s="25"/>
      <c r="E29" s="25"/>
      <c r="F29" s="25"/>
      <c r="G29" s="25"/>
      <c r="H29" s="25"/>
      <c r="I29" s="25"/>
      <c r="J29" s="25"/>
      <c r="K29" s="25"/>
      <c r="L29" s="25"/>
      <c r="M29" s="25"/>
    </row>
    <row r="30" spans="2:13" s="12" customFormat="1">
      <c r="B30" s="149" t="s">
        <v>726</v>
      </c>
      <c r="C30" s="149"/>
      <c r="D30" s="149"/>
      <c r="E30" s="149"/>
      <c r="F30" s="149"/>
      <c r="G30" s="149"/>
      <c r="H30" s="149"/>
      <c r="I30" s="149"/>
      <c r="J30" s="149"/>
      <c r="K30" s="149"/>
      <c r="L30" s="40"/>
      <c r="M30" s="25"/>
    </row>
    <row r="31" spans="2:13" s="12" customFormat="1" ht="18" customHeight="1">
      <c r="B31" s="41" t="s">
        <v>724</v>
      </c>
      <c r="C31" s="35"/>
      <c r="D31" s="35"/>
      <c r="E31" s="35"/>
      <c r="F31" s="35"/>
      <c r="G31" s="35"/>
      <c r="H31" s="35"/>
      <c r="I31" s="35"/>
      <c r="J31" s="35"/>
      <c r="K31" s="40"/>
      <c r="L31" s="40"/>
      <c r="M31" s="25"/>
    </row>
    <row r="32" spans="2:13" s="12" customFormat="1" ht="50.25" customHeight="1">
      <c r="B32" s="149" t="s">
        <v>789</v>
      </c>
      <c r="C32" s="149"/>
      <c r="D32" s="149"/>
      <c r="E32" s="149"/>
      <c r="F32" s="149"/>
      <c r="G32" s="149"/>
      <c r="H32" s="149"/>
      <c r="I32" s="149"/>
      <c r="J32" s="149"/>
      <c r="K32" s="149"/>
      <c r="L32" s="149"/>
      <c r="M32" s="149"/>
    </row>
    <row r="33" spans="2:13" s="12" customFormat="1">
      <c r="B33" s="41" t="s">
        <v>725</v>
      </c>
      <c r="C33" s="35"/>
      <c r="D33" s="35"/>
      <c r="E33" s="35"/>
      <c r="F33" s="35"/>
      <c r="G33" s="35"/>
      <c r="H33" s="35"/>
      <c r="I33" s="35"/>
      <c r="J33" s="35"/>
      <c r="K33" s="42"/>
      <c r="L33" s="42"/>
      <c r="M33" s="25"/>
    </row>
    <row r="34" spans="2:13" s="12" customFormat="1">
      <c r="B34" s="43" t="s">
        <v>788</v>
      </c>
      <c r="C34" s="44"/>
      <c r="D34" s="44"/>
      <c r="E34" s="44"/>
      <c r="F34" s="44"/>
      <c r="G34" s="44"/>
      <c r="H34" s="44"/>
      <c r="I34" s="44"/>
      <c r="J34" s="44"/>
      <c r="K34" s="44"/>
      <c r="L34" s="44"/>
      <c r="M34" s="25"/>
    </row>
    <row r="35" spans="2:13" s="12" customFormat="1">
      <c r="B35" s="43"/>
      <c r="C35" s="44"/>
      <c r="D35" s="44"/>
      <c r="E35" s="44"/>
      <c r="F35" s="44"/>
      <c r="G35" s="44"/>
      <c r="H35" s="44"/>
      <c r="I35" s="44"/>
      <c r="J35" s="44"/>
      <c r="K35" s="44"/>
      <c r="L35" s="44"/>
      <c r="M35" s="25"/>
    </row>
    <row r="36" spans="2:13" s="12" customFormat="1">
      <c r="B36" s="36" t="s">
        <v>437</v>
      </c>
      <c r="C36" s="44"/>
      <c r="D36" s="44"/>
      <c r="E36" s="44"/>
      <c r="F36" s="44"/>
      <c r="G36" s="44"/>
      <c r="H36" s="44"/>
      <c r="I36" s="44"/>
      <c r="J36" s="44"/>
      <c r="K36" s="44"/>
      <c r="L36" s="44"/>
      <c r="M36" s="25"/>
    </row>
    <row r="37" spans="2:13" s="12" customFormat="1">
      <c r="B37" s="45" t="s">
        <v>438</v>
      </c>
      <c r="C37" s="44"/>
      <c r="D37" s="44"/>
      <c r="E37" s="44"/>
      <c r="F37" s="44"/>
      <c r="G37" s="44"/>
      <c r="H37" s="44"/>
      <c r="I37" s="44"/>
      <c r="J37" s="44"/>
      <c r="K37" s="44"/>
      <c r="L37" s="44"/>
      <c r="M37" s="25"/>
    </row>
    <row r="38" spans="2:13" s="12" customFormat="1">
      <c r="B38" s="36"/>
      <c r="C38" s="25"/>
      <c r="D38" s="25"/>
      <c r="E38" s="25"/>
      <c r="F38" s="25"/>
      <c r="G38" s="25"/>
      <c r="H38" s="25"/>
      <c r="I38" s="25"/>
      <c r="J38" s="25"/>
      <c r="K38" s="25"/>
      <c r="L38" s="25"/>
      <c r="M38" s="25"/>
    </row>
    <row r="39" spans="2:13" s="12" customFormat="1">
      <c r="B39" s="30" t="s">
        <v>439</v>
      </c>
      <c r="C39" s="25"/>
      <c r="D39" s="25"/>
      <c r="E39" s="25"/>
      <c r="F39" s="25"/>
      <c r="G39" s="25"/>
      <c r="H39" s="25"/>
      <c r="I39" s="25"/>
      <c r="J39" s="25"/>
      <c r="K39" s="25"/>
      <c r="L39" s="25"/>
      <c r="M39" s="25"/>
    </row>
    <row r="40" spans="2:13" s="12" customFormat="1">
      <c r="B40" s="152" t="s">
        <v>690</v>
      </c>
      <c r="C40" s="152"/>
      <c r="D40" s="152"/>
      <c r="E40" s="152"/>
      <c r="F40" s="152"/>
      <c r="G40" s="152"/>
      <c r="H40" s="152"/>
      <c r="I40" s="152"/>
      <c r="J40" s="152"/>
      <c r="K40" s="25"/>
      <c r="L40" s="35"/>
      <c r="M40" s="35"/>
    </row>
    <row r="41" spans="2:13" s="12" customFormat="1">
      <c r="B41" s="25"/>
      <c r="C41" s="25"/>
      <c r="D41" s="25"/>
      <c r="E41" s="25"/>
      <c r="F41" s="25"/>
      <c r="G41" s="25"/>
      <c r="H41" s="25"/>
      <c r="I41" s="25"/>
      <c r="J41" s="25"/>
      <c r="K41" s="25"/>
      <c r="L41" s="25"/>
      <c r="M41" s="25"/>
    </row>
    <row r="42" spans="2:13" s="12" customFormat="1">
      <c r="B42" s="30" t="s">
        <v>440</v>
      </c>
      <c r="C42" s="25"/>
      <c r="D42" s="38"/>
      <c r="E42" s="25"/>
      <c r="F42" s="25"/>
      <c r="G42" s="25"/>
      <c r="H42" s="25"/>
      <c r="I42" s="25"/>
      <c r="J42" s="25"/>
      <c r="K42" s="25"/>
      <c r="L42" s="25"/>
      <c r="M42" s="25"/>
    </row>
    <row r="65" spans="2:13" ht="23.25" thickBot="1">
      <c r="B65" s="1" t="s">
        <v>222</v>
      </c>
      <c r="C65" s="1" t="s">
        <v>223</v>
      </c>
      <c r="D65" s="1" t="s">
        <v>55</v>
      </c>
      <c r="E65" s="1" t="s">
        <v>15</v>
      </c>
      <c r="F65" s="1" t="s">
        <v>224</v>
      </c>
      <c r="G65" s="1" t="s">
        <v>641</v>
      </c>
      <c r="H65" s="1" t="s">
        <v>13</v>
      </c>
      <c r="I65" s="1" t="s">
        <v>25</v>
      </c>
      <c r="J65" s="1" t="s">
        <v>225</v>
      </c>
      <c r="K65" s="1" t="s">
        <v>604</v>
      </c>
      <c r="L65" s="1" t="s">
        <v>226</v>
      </c>
      <c r="M65" s="1" t="s">
        <v>95</v>
      </c>
    </row>
    <row r="66" spans="2:13" ht="15.75" thickBot="1">
      <c r="B66" s="2" t="s">
        <v>227</v>
      </c>
      <c r="C66" s="76">
        <f>C67+C68</f>
        <v>8186</v>
      </c>
      <c r="D66" s="77">
        <f t="shared" ref="D66:L66" si="0">D67+D68</f>
        <v>1595.5</v>
      </c>
      <c r="E66" s="76">
        <f t="shared" si="0"/>
        <v>1894.5</v>
      </c>
      <c r="F66" s="77">
        <f t="shared" si="0"/>
        <v>208.37</v>
      </c>
      <c r="G66" s="76">
        <f t="shared" si="0"/>
        <v>716.42650000000003</v>
      </c>
      <c r="H66" s="77">
        <f t="shared" si="0"/>
        <v>12</v>
      </c>
      <c r="I66" s="76">
        <f t="shared" si="0"/>
        <v>738.19999999999993</v>
      </c>
      <c r="J66" s="77">
        <f t="shared" si="0"/>
        <v>419.19000000000005</v>
      </c>
      <c r="K66" s="76">
        <f t="shared" si="0"/>
        <v>0</v>
      </c>
      <c r="L66" s="77">
        <f t="shared" si="0"/>
        <v>1</v>
      </c>
      <c r="M66" s="76">
        <f t="shared" ref="M66:M71" si="1">SUM(C66:L66)</f>
        <v>13771.186500000002</v>
      </c>
    </row>
    <row r="67" spans="2:13" ht="15.75" thickBot="1">
      <c r="B67" s="2" t="s">
        <v>70</v>
      </c>
      <c r="C67" s="76">
        <f>SUMIFS(existingstable[Nameplate Capacity (MW)],existingstable[summary_status],'Queensland Summary'!$B67,existingstable[summary_bucket],'Queensland Summary'!C$65) + SUMIFS(existingnstable[Nameplate Capacity (MW)],existingnstable[summary_status],'Queensland Summary'!$B67,existingnstable[summary_bucket],'Queensland Summary'!C$65)</f>
        <v>0</v>
      </c>
      <c r="D67" s="77">
        <f>SUMIFS(existingstable[Nameplate Capacity (MW)],existingstable[summary_status],'Queensland Summary'!$B67,existingstable[summary_bucket],'Queensland Summary'!D$65) + SUMIFS(existingnstable[Nameplate Capacity (MW)],existingnstable[summary_status],'Queensland Summary'!$B67,existingnstable[summary_bucket],'Queensland Summary'!D$65)</f>
        <v>0</v>
      </c>
      <c r="E67" s="76">
        <f>SUMIFS(existingstable[Nameplate Capacity (MW)],existingstable[summary_status],'Queensland Summary'!$B67,existingstable[summary_bucket],'Queensland Summary'!E$65) + SUMIFS(existingnstable[Nameplate Capacity (MW)],existingnstable[summary_status],'Queensland Summary'!$B67,existingnstable[summary_bucket],'Queensland Summary'!E$65)</f>
        <v>34</v>
      </c>
      <c r="F67" s="77">
        <f>SUMIFS(existingstable[Nameplate Capacity (MW)],existingstable[summary_status],'Queensland Summary'!$B67,existingstable[summary_bucket],'Queensland Summary'!F$65) + SUMIFS(existingnstable[Nameplate Capacity (MW)],existingnstable[summary_status],'Queensland Summary'!$B67,existingnstable[summary_bucket],'Queensland Summary'!F$65)</f>
        <v>0</v>
      </c>
      <c r="G67" s="76">
        <f>SUMIFS(existingstable[Nameplate Capacity (MW)],existingstable[summary_status],'Queensland Summary'!$B67,existingstable[summary_bucket],'Queensland Summary'!G$65) + SUMIFS(existingnstable[Nameplate Capacity (MW)],existingnstable[summary_status],'Queensland Summary'!$B67,existingnstable[summary_bucket],'Queensland Summary'!G$65)</f>
        <v>0</v>
      </c>
      <c r="H67" s="77">
        <f>SUMIFS(existingstable[Nameplate Capacity (MW)],existingstable[summary_status],'Queensland Summary'!$B67,existingstable[summary_bucket],'Queensland Summary'!H$65) + SUMIFS(existingnstable[Nameplate Capacity (MW)],existingnstable[summary_status],'Queensland Summary'!$B67,existingnstable[summary_bucket],'Queensland Summary'!H$65)</f>
        <v>0</v>
      </c>
      <c r="I67" s="76">
        <f>SUMIFS(existingstable[Nameplate Capacity (MW)],existingstable[summary_status],'Queensland Summary'!$B67,existingstable[summary_bucket],'Queensland Summary'!I$65) + SUMIFS(existingnstable[Nameplate Capacity (MW)],existingnstable[summary_status],'Queensland Summary'!$B67,existingnstable[summary_bucket],'Queensland Summary'!I$65)</f>
        <v>0</v>
      </c>
      <c r="J67" s="77">
        <f>SUMIFS(existingstable[Nameplate Capacity (MW)],existingstable[summary_status],'Queensland Summary'!$B67,existingstable[summary_bucket],'Queensland Summary'!J$65) + SUMIFS(existingnstable[Nameplate Capacity (MW)],existingnstable[summary_status],'Queensland Summary'!$B67,existingnstable[summary_bucket],'Queensland Summary'!J$65)</f>
        <v>0</v>
      </c>
      <c r="K67" s="76">
        <f>SUMIFS(existingstable[Nameplate Capacity (MW)],existingstable[summary_status],'Queensland Summary'!$B67,existingstable[summary_bucket],'Queensland Summary'!K$65) + SUMIFS(existingnstable[Nameplate Capacity (MW)],existingnstable[summary_status],'Queensland Summary'!$B67,existingnstable[summary_bucket],'Queensland Summary'!K$65)</f>
        <v>0</v>
      </c>
      <c r="L67" s="77">
        <f>SUMIFS(existingstable[Nameplate Capacity (MW)],existingstable[summary_status],'Queensland Summary'!$B67,existingstable[summary_bucket],'Queensland Summary'!L$65) + SUMIFS(existingnstable[Nameplate Capacity (MW)],existingnstable[summary_status],'Queensland Summary'!$B67,existingnstable[summary_bucket],'Queensland Summary'!L$65)</f>
        <v>0</v>
      </c>
      <c r="M67" s="76">
        <f t="shared" si="1"/>
        <v>34</v>
      </c>
    </row>
    <row r="68" spans="2:13" ht="15.75" thickBot="1">
      <c r="B68" s="2" t="s">
        <v>228</v>
      </c>
      <c r="C68" s="76">
        <f>SUMIFS(existingstable[Nameplate Capacity (MW)],existingstable[summary_status],'Queensland Summary'!$B68,existingstable[summary_bucket],'Queensland Summary'!C$65) + SUMIFS(existingnstable[Nameplate Capacity (MW)],existingnstable[summary_status],'Queensland Summary'!$B68,existingnstable[summary_bucket],'Queensland Summary'!C$65)</f>
        <v>8186</v>
      </c>
      <c r="D68" s="77">
        <f>SUMIFS(existingstable[Nameplate Capacity (MW)],existingstable[summary_status],'Queensland Summary'!$B68,existingstable[summary_bucket],'Queensland Summary'!D$65) + SUMIFS(existingnstable[Nameplate Capacity (MW)],existingnstable[summary_status],'Queensland Summary'!$B68,existingnstable[summary_bucket],'Queensland Summary'!D$65)</f>
        <v>1595.5</v>
      </c>
      <c r="E68" s="76">
        <f>SUMIFS(existingstable[Nameplate Capacity (MW)],existingstable[summary_status],'Queensland Summary'!$B68,existingstable[summary_bucket],'Queensland Summary'!E$65) + SUMIFS(existingnstable[Nameplate Capacity (MW)],existingnstable[summary_status],'Queensland Summary'!$B68,existingnstable[summary_bucket],'Queensland Summary'!E$65)</f>
        <v>1860.5</v>
      </c>
      <c r="F68" s="77">
        <f>SUMIFS(existingstable[Nameplate Capacity (MW)],existingstable[summary_status],'Queensland Summary'!$B68,existingstable[summary_bucket],'Queensland Summary'!F$65) + SUMIFS(existingnstable[Nameplate Capacity (MW)],existingnstable[summary_status],'Queensland Summary'!$B68,existingnstable[summary_bucket],'Queensland Summary'!F$65)</f>
        <v>208.37</v>
      </c>
      <c r="G68" s="76">
        <f>SUMIFS(existingstable[Nameplate Capacity (MW)],existingstable[summary_status],'Queensland Summary'!$B68,existingstable[summary_bucket],'Queensland Summary'!G$65) + SUMIFS(existingnstable[Nameplate Capacity (MW)],existingnstable[summary_status],'Queensland Summary'!$B68,existingnstable[summary_bucket],'Queensland Summary'!G$65)</f>
        <v>716.42650000000003</v>
      </c>
      <c r="H68" s="77">
        <f>SUMIFS(existingstable[Nameplate Capacity (MW)],existingstable[summary_status],'Queensland Summary'!$B68,existingstable[summary_bucket],'Queensland Summary'!H$65) + SUMIFS(existingnstable[Nameplate Capacity (MW)],existingnstable[summary_status],'Queensland Summary'!$B68,existingnstable[summary_bucket],'Queensland Summary'!H$65)</f>
        <v>12</v>
      </c>
      <c r="I68" s="76">
        <f>SUMIFS(existingstable[Nameplate Capacity (MW)],existingstable[summary_status],'Queensland Summary'!$B68,existingstable[summary_bucket],'Queensland Summary'!I$65) + SUMIFS(existingnstable[Nameplate Capacity (MW)],existingnstable[summary_status],'Queensland Summary'!$B68,existingnstable[summary_bucket],'Queensland Summary'!I$65)</f>
        <v>738.19999999999993</v>
      </c>
      <c r="J68" s="77">
        <f>SUMIFS(existingstable[Nameplate Capacity (MW)],existingstable[summary_status],'Queensland Summary'!$B68,existingstable[summary_bucket],'Queensland Summary'!J$65) + SUMIFS(existingnstable[Nameplate Capacity (MW)],existingnstable[summary_status],'Queensland Summary'!$B68,existingnstable[summary_bucket],'Queensland Summary'!J$65)</f>
        <v>419.19000000000005</v>
      </c>
      <c r="K68" s="76">
        <f>SUMIFS(existingstable[Nameplate Capacity (MW)],existingstable[summary_status],'Queensland Summary'!$B68,existingstable[summary_bucket],'Queensland Summary'!K$65) + SUMIFS(existingnstable[Nameplate Capacity (MW)],existingnstable[summary_status],'Queensland Summary'!$B68,existingnstable[summary_bucket],'Queensland Summary'!K$65)</f>
        <v>0</v>
      </c>
      <c r="L68" s="77">
        <f>SUMIFS(existingstable[Nameplate Capacity (MW)],existingstable[summary_status],'Queensland Summary'!$B68,existingstable[summary_bucket],'Queensland Summary'!L$65) + SUMIFS(existingnstable[Nameplate Capacity (MW)],existingnstable[summary_status],'Queensland Summary'!$B68,existingnstable[summary_bucket],'Queensland Summary'!L$65)</f>
        <v>1</v>
      </c>
      <c r="M68" s="76">
        <f t="shared" si="1"/>
        <v>13737.186500000002</v>
      </c>
    </row>
    <row r="69" spans="2:13" ht="15.75" thickBot="1">
      <c r="B69" s="2" t="s">
        <v>229</v>
      </c>
      <c r="C69" s="76">
        <f>SUMIFS(newdevtable[nameplatecapacity_mw_max],newdevtable[summary_status],'Queensland Summary'!$B69,newdevtable[summary_bucket],'Queensland Summary'!C$65)</f>
        <v>0</v>
      </c>
      <c r="D69" s="77">
        <f>SUMIFS(newdevtable[nameplatecapacity_mw_max],newdevtable[summary_status],'Queensland Summary'!$B69,newdevtable[summary_bucket],'Queensland Summary'!D$65)</f>
        <v>0</v>
      </c>
      <c r="E69" s="76">
        <f>SUMIFS(newdevtable[nameplatecapacity_mw_max],newdevtable[summary_status],'Queensland Summary'!$B69,newdevtable[summary_bucket],'Queensland Summary'!E$65)</f>
        <v>0</v>
      </c>
      <c r="F69" s="77">
        <f>SUMIFS(newdevtable[nameplatecapacity_mw_max],newdevtable[summary_status],'Queensland Summary'!$B69,newdevtable[summary_bucket],'Queensland Summary'!F$65)</f>
        <v>0</v>
      </c>
      <c r="G69" s="76">
        <f>SUMIFS(newdevtable[nameplatecapacity_mw_max],newdevtable[summary_status],'Queensland Summary'!$B69,newdevtable[summary_bucket],'Queensland Summary'!G$65)</f>
        <v>1194.95</v>
      </c>
      <c r="H69" s="77">
        <f>SUMIFS(newdevtable[nameplatecapacity_mw_max],newdevtable[summary_status],'Queensland Summary'!$B69,newdevtable[summary_bucket],'Queensland Summary'!H$65)</f>
        <v>676.7</v>
      </c>
      <c r="I69" s="76">
        <f>SUMIFS(newdevtable[nameplatecapacity_mw_max],newdevtable[summary_status],'Queensland Summary'!$B69,newdevtable[summary_bucket],'Queensland Summary'!I$65)</f>
        <v>0</v>
      </c>
      <c r="J69" s="77">
        <f>SUMIFS(newdevtable[nameplatecapacity_mw_max],newdevtable[summary_status],'Queensland Summary'!$B69,newdevtable[summary_bucket],'Queensland Summary'!J$65)</f>
        <v>24</v>
      </c>
      <c r="K69" s="76">
        <f>SUMIFS(newdevtable[nameplatecapacity_mw_max],newdevtable[summary_status],'Queensland Summary'!$B69,newdevtable[summary_bucket],'Queensland Summary'!K$65)</f>
        <v>2</v>
      </c>
      <c r="L69" s="77">
        <f>SUMIFS(newdevtable[nameplatecapacity_mw_max],newdevtable[summary_status],'Queensland Summary'!$B69,newdevtable[summary_bucket],'Queensland Summary'!L$65)</f>
        <v>0</v>
      </c>
      <c r="M69" s="76">
        <f t="shared" si="1"/>
        <v>1897.65</v>
      </c>
    </row>
    <row r="70" spans="2:13" ht="15.75" thickBot="1">
      <c r="B70" s="2" t="s">
        <v>230</v>
      </c>
      <c r="C70" s="76">
        <f>SUMIFS(newdevtable[nameplatecapacity_mw_max],newdevtable[summary_status],'Queensland Summary'!$B70,newdevtable[summary_bucket],'Queensland Summary'!C$65)</f>
        <v>0</v>
      </c>
      <c r="D70" s="77">
        <f>SUMIFS(newdevtable[nameplatecapacity_mw_max],newdevtable[summary_status],'Queensland Summary'!$B70,newdevtable[summary_bucket],'Queensland Summary'!D$65)</f>
        <v>0</v>
      </c>
      <c r="E70" s="76">
        <f>SUMIFS(newdevtable[nameplatecapacity_mw_max],newdevtable[summary_status],'Queensland Summary'!$B70,newdevtable[summary_bucket],'Queensland Summary'!E$65)</f>
        <v>132</v>
      </c>
      <c r="F70" s="77">
        <f>SUMIFS(newdevtable[nameplatecapacity_mw_max],newdevtable[summary_status],'Queensland Summary'!$B70,newdevtable[summary_bucket],'Queensland Summary'!F$65)</f>
        <v>15.205</v>
      </c>
      <c r="G70" s="76">
        <f>SUMIFS(newdevtable[nameplatecapacity_mw_max],newdevtable[summary_status],'Queensland Summary'!$B70,newdevtable[summary_bucket],'Queensland Summary'!G$65)</f>
        <v>11501.62672</v>
      </c>
      <c r="H70" s="77">
        <f>SUMIFS(newdevtable[nameplatecapacity_mw_max],newdevtable[summary_status],'Queensland Summary'!$B70,newdevtable[summary_bucket],'Queensland Summary'!H$65)</f>
        <v>1188.4000000000001</v>
      </c>
      <c r="I70" s="76">
        <f>SUMIFS(newdevtable[nameplatecapacity_mw_max],newdevtable[summary_status],'Queensland Summary'!$B70,newdevtable[summary_bucket],'Queensland Summary'!I$65)</f>
        <v>250</v>
      </c>
      <c r="J70" s="77">
        <f>SUMIFS(newdevtable[nameplatecapacity_mw_max],newdevtable[summary_status],'Queensland Summary'!$B70,newdevtable[summary_bucket],'Queensland Summary'!J$65)</f>
        <v>189.6</v>
      </c>
      <c r="K70" s="76">
        <f>SUMIFS(newdevtable[nameplatecapacity_mw_max],newdevtable[summary_status],'Queensland Summary'!$B70,newdevtable[summary_bucket],'Queensland Summary'!K$65)</f>
        <v>3120</v>
      </c>
      <c r="L70" s="77">
        <f>SUMIFS(newdevtable[nameplatecapacity_mw_max],newdevtable[summary_status],'Queensland Summary'!$B70,newdevtable[summary_bucket],'Queensland Summary'!L$65)</f>
        <v>0</v>
      </c>
      <c r="M70" s="76">
        <f>SUM(C70:L70)</f>
        <v>16396.831720000002</v>
      </c>
    </row>
    <row r="71" spans="2:13" ht="15.75" thickBot="1">
      <c r="B71" s="2" t="s">
        <v>231</v>
      </c>
      <c r="C71" s="76">
        <f>SUMIFS(existingstable[Nameplate Capacity (MW)],existingstable[summary_status],'Queensland Summary'!$B71,existingstable[summary_bucket],'Queensland Summary'!C$65) + SUMIFS(existingnstable[Nameplate Capacity (MW)],existingnstable[summary_status],'Queensland Summary'!$B71,existingnstable[summary_bucket],'Queensland Summary'!C$65)</f>
        <v>0</v>
      </c>
      <c r="D71" s="77">
        <f>SUMIFS(existingstable[Nameplate Capacity (MW)],existingstable[summary_status],'Queensland Summary'!$B71,existingstable[summary_bucket],'Queensland Summary'!D$65) + SUMIFS(existingnstable[Nameplate Capacity (MW)],existingnstable[summary_status],'Queensland Summary'!$B71,existingnstable[summary_bucket],'Queensland Summary'!D$65)</f>
        <v>0</v>
      </c>
      <c r="E71" s="76">
        <f>SUMIFS(existingstable[Nameplate Capacity (MW)],existingstable[summary_status],'Queensland Summary'!$B71,existingstable[summary_bucket],'Queensland Summary'!E$65) + SUMIFS(existingnstable[Nameplate Capacity (MW)],existingnstable[summary_status],'Queensland Summary'!$B71,existingnstable[summary_bucket],'Queensland Summary'!E$65)</f>
        <v>0</v>
      </c>
      <c r="F71" s="77">
        <f>SUMIFS(existingstable[Nameplate Capacity (MW)],existingstable[summary_status],'Queensland Summary'!$B71,existingstable[summary_bucket],'Queensland Summary'!F$65) + SUMIFS(existingnstable[Nameplate Capacity (MW)],existingnstable[summary_status],'Queensland Summary'!$B71,existingnstable[summary_bucket],'Queensland Summary'!F$65)</f>
        <v>0</v>
      </c>
      <c r="G71" s="76">
        <f>SUMIFS(existingstable[Nameplate Capacity (MW)],existingstable[summary_status],'Queensland Summary'!$B71,existingstable[summary_bucket],'Queensland Summary'!G$65) + SUMIFS(existingnstable[Nameplate Capacity (MW)],existingnstable[summary_status],'Queensland Summary'!$B71,existingnstable[summary_bucket],'Queensland Summary'!G$65)</f>
        <v>0</v>
      </c>
      <c r="H71" s="77">
        <f>SUMIFS(existingstable[Nameplate Capacity (MW)],existingstable[summary_status],'Queensland Summary'!$B71,existingstable[summary_bucket],'Queensland Summary'!H$65) + SUMIFS(existingnstable[Nameplate Capacity (MW)],existingnstable[summary_status],'Queensland Summary'!$B71,existingnstable[summary_bucket],'Queensland Summary'!H$65)</f>
        <v>0</v>
      </c>
      <c r="I71" s="76">
        <f>SUMIFS(existingstable[Nameplate Capacity (MW)],existingstable[summary_status],'Queensland Summary'!$B71,existingstable[summary_bucket],'Queensland Summary'!I$65) + SUMIFS(existingnstable[Nameplate Capacity (MW)],existingnstable[summary_status],'Queensland Summary'!$B71,existingnstable[summary_bucket],'Queensland Summary'!I$65)</f>
        <v>0</v>
      </c>
      <c r="J71" s="77">
        <f>SUMIFS(existingstable[Nameplate Capacity (MW)],existingstable[summary_status],'Queensland Summary'!$B71,existingstable[summary_bucket],'Queensland Summary'!J$65) + SUMIFS(existingnstable[Nameplate Capacity (MW)],existingnstable[summary_status],'Queensland Summary'!$B71,existingnstable[summary_bucket],'Queensland Summary'!J$65)</f>
        <v>0</v>
      </c>
      <c r="K71" s="76">
        <f>SUMIFS(existingstable[Nameplate Capacity (MW)],existingstable[summary_status],'Queensland Summary'!$B71,existingstable[summary_bucket],'Queensland Summary'!K$65) + SUMIFS(existingnstable[Nameplate Capacity (MW)],existingnstable[summary_status],'Queensland Summary'!$B71,existingnstable[summary_bucket],'Queensland Summary'!K$65)</f>
        <v>0</v>
      </c>
      <c r="L71" s="77">
        <f>SUMIFS(existingstable[Nameplate Capacity (MW)],existingstable[summary_status],'Queensland Summary'!$B71,existingstable[summary_bucket],'Queensland Summary'!L$65) + SUMIFS(existingnstable[Nameplate Capacity (MW)],existingnstable[summary_status],'Queensland Summary'!$B71,existingnstable[summary_bucket],'Queensland Summary'!L$65)</f>
        <v>0</v>
      </c>
      <c r="M71" s="76">
        <f t="shared" si="1"/>
        <v>0</v>
      </c>
    </row>
    <row r="72" spans="2:13">
      <c r="B72" s="150" t="s">
        <v>232</v>
      </c>
      <c r="C72" s="151"/>
      <c r="D72" s="151"/>
      <c r="E72" s="151"/>
      <c r="F72" s="151"/>
      <c r="G72" s="151"/>
      <c r="H72" s="151"/>
      <c r="I72" s="151"/>
      <c r="J72" s="151"/>
      <c r="K72" s="151"/>
      <c r="L72" s="151"/>
    </row>
    <row r="73" spans="2:13">
      <c r="B73" s="150" t="s">
        <v>642</v>
      </c>
      <c r="C73" s="151"/>
      <c r="D73" s="151"/>
      <c r="E73" s="151"/>
      <c r="F73" s="151"/>
      <c r="G73" s="151"/>
      <c r="H73" s="151"/>
      <c r="I73" s="151"/>
      <c r="J73" s="151"/>
      <c r="K73" s="151"/>
    </row>
    <row r="74" spans="2:13">
      <c r="B74" s="144"/>
      <c r="C74" s="144"/>
      <c r="D74" s="144"/>
      <c r="E74" s="144"/>
      <c r="F74" s="144"/>
      <c r="G74" s="144"/>
      <c r="H74" s="144"/>
      <c r="I74" s="144"/>
      <c r="J74" s="144"/>
      <c r="K74" s="144"/>
      <c r="L74" s="144"/>
      <c r="M74" s="144"/>
    </row>
    <row r="75" spans="2:13">
      <c r="B75" s="144"/>
      <c r="C75" s="144"/>
      <c r="D75" s="144"/>
      <c r="E75" s="144"/>
      <c r="F75" s="144"/>
      <c r="G75" s="144"/>
      <c r="H75" s="144"/>
      <c r="I75" s="144"/>
      <c r="J75" s="144"/>
      <c r="K75" s="144"/>
      <c r="L75" s="144"/>
    </row>
  </sheetData>
  <mergeCells count="10">
    <mergeCell ref="B74:M74"/>
    <mergeCell ref="B75:L75"/>
    <mergeCell ref="B5:I5"/>
    <mergeCell ref="B22:F22"/>
    <mergeCell ref="B24:J24"/>
    <mergeCell ref="B73:K73"/>
    <mergeCell ref="B72:L72"/>
    <mergeCell ref="B32:M32"/>
    <mergeCell ref="B40:J40"/>
    <mergeCell ref="B30:K30"/>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3"/>
  <sheetViews>
    <sheetView workbookViewId="0"/>
  </sheetViews>
  <sheetFormatPr defaultColWidth="9.140625" defaultRowHeight="15"/>
  <cols>
    <col min="1" max="1" width="4.7109375" style="25" customWidth="1"/>
    <col min="2" max="11" width="9.140625" style="25"/>
    <col min="12" max="12" width="13.28515625" style="25" customWidth="1"/>
    <col min="13" max="16384" width="9.140625" style="25"/>
  </cols>
  <sheetData>
    <row r="1" spans="1:16" ht="20.25" thickBot="1">
      <c r="A1" s="78"/>
      <c r="B1" s="29" t="s">
        <v>441</v>
      </c>
      <c r="C1" s="78"/>
      <c r="D1" s="78"/>
      <c r="E1" s="78"/>
      <c r="F1" s="78"/>
      <c r="G1" s="78"/>
      <c r="H1" s="78"/>
      <c r="I1" s="78"/>
      <c r="J1" s="78"/>
      <c r="K1" s="78"/>
      <c r="L1" s="78"/>
      <c r="M1" s="78"/>
      <c r="N1" s="78"/>
      <c r="O1" s="78"/>
      <c r="P1" s="78"/>
    </row>
    <row r="2" spans="1:16">
      <c r="A2" s="78"/>
      <c r="B2" s="113" t="s">
        <v>442</v>
      </c>
      <c r="C2" s="78"/>
      <c r="D2" s="78"/>
      <c r="E2" s="113"/>
      <c r="F2" s="113"/>
      <c r="G2" s="113"/>
      <c r="H2" s="113"/>
      <c r="I2" s="113"/>
      <c r="J2" s="113"/>
      <c r="K2" s="113"/>
      <c r="L2" s="113"/>
      <c r="M2" s="78"/>
      <c r="N2" s="78"/>
      <c r="O2" s="78"/>
      <c r="P2" s="78"/>
    </row>
    <row r="3" spans="1:16">
      <c r="A3" s="78"/>
      <c r="B3" s="78"/>
      <c r="C3" s="78"/>
      <c r="D3" s="78"/>
      <c r="E3" s="113"/>
      <c r="F3" s="113"/>
      <c r="G3" s="113"/>
      <c r="H3" s="113"/>
      <c r="I3" s="113"/>
      <c r="J3" s="113"/>
      <c r="K3" s="113"/>
      <c r="L3" s="113"/>
      <c r="M3" s="78"/>
      <c r="N3" s="78"/>
      <c r="O3" s="78"/>
      <c r="P3" s="78"/>
    </row>
    <row r="4" spans="1:16">
      <c r="A4" s="78"/>
      <c r="B4" s="121" t="s">
        <v>443</v>
      </c>
      <c r="C4" s="78"/>
      <c r="D4" s="114">
        <v>41263</v>
      </c>
      <c r="E4" s="113"/>
      <c r="F4" s="113"/>
      <c r="G4" s="113"/>
      <c r="H4" s="113"/>
      <c r="I4" s="113"/>
      <c r="J4" s="113"/>
      <c r="K4" s="113"/>
      <c r="L4" s="113"/>
      <c r="M4" s="78"/>
      <c r="N4" s="78"/>
      <c r="O4" s="78"/>
      <c r="P4" s="78"/>
    </row>
    <row r="5" spans="1:16" ht="28.5" customHeight="1">
      <c r="A5" s="78"/>
      <c r="B5" s="156" t="s">
        <v>444</v>
      </c>
      <c r="C5" s="154"/>
      <c r="D5" s="154"/>
      <c r="E5" s="154"/>
      <c r="F5" s="154"/>
      <c r="G5" s="154"/>
      <c r="H5" s="154"/>
      <c r="I5" s="154"/>
      <c r="J5" s="154"/>
      <c r="K5" s="154"/>
      <c r="L5" s="113"/>
      <c r="M5" s="78"/>
      <c r="N5" s="78"/>
      <c r="O5" s="78"/>
      <c r="P5" s="78"/>
    </row>
    <row r="6" spans="1:16" ht="54.75" customHeight="1">
      <c r="A6" s="78"/>
      <c r="B6" s="156" t="s">
        <v>445</v>
      </c>
      <c r="C6" s="154"/>
      <c r="D6" s="154"/>
      <c r="E6" s="154"/>
      <c r="F6" s="154"/>
      <c r="G6" s="154"/>
      <c r="H6" s="154"/>
      <c r="I6" s="154"/>
      <c r="J6" s="154"/>
      <c r="K6" s="154"/>
      <c r="L6" s="113"/>
      <c r="M6" s="78"/>
      <c r="N6" s="78"/>
      <c r="O6" s="78"/>
      <c r="P6" s="78"/>
    </row>
    <row r="7" spans="1:16" ht="43.5" customHeight="1">
      <c r="A7" s="78"/>
      <c r="B7" s="156" t="s">
        <v>446</v>
      </c>
      <c r="C7" s="154"/>
      <c r="D7" s="154"/>
      <c r="E7" s="154"/>
      <c r="F7" s="154"/>
      <c r="G7" s="154"/>
      <c r="H7" s="154"/>
      <c r="I7" s="154"/>
      <c r="J7" s="154"/>
      <c r="K7" s="154"/>
      <c r="L7" s="113"/>
      <c r="M7" s="78"/>
      <c r="N7" s="78"/>
      <c r="O7" s="78"/>
      <c r="P7" s="78"/>
    </row>
    <row r="8" spans="1:16">
      <c r="A8" s="78"/>
      <c r="B8" s="113"/>
      <c r="C8" s="113"/>
      <c r="D8" s="113"/>
      <c r="E8" s="113"/>
      <c r="F8" s="113"/>
      <c r="G8" s="113"/>
      <c r="H8" s="113"/>
      <c r="I8" s="113"/>
      <c r="J8" s="113"/>
      <c r="K8" s="113"/>
      <c r="L8" s="113"/>
      <c r="M8" s="78"/>
      <c r="N8" s="78"/>
      <c r="O8" s="78"/>
      <c r="P8" s="78"/>
    </row>
    <row r="9" spans="1:16">
      <c r="A9" s="78"/>
      <c r="B9" s="121" t="s">
        <v>443</v>
      </c>
      <c r="C9" s="113"/>
      <c r="D9" s="114">
        <v>41327</v>
      </c>
      <c r="E9" s="113"/>
      <c r="F9" s="113"/>
      <c r="G9" s="113"/>
      <c r="H9" s="113"/>
      <c r="I9" s="113"/>
      <c r="J9" s="113"/>
      <c r="K9" s="113"/>
      <c r="L9" s="113"/>
      <c r="M9" s="78"/>
      <c r="N9" s="78"/>
      <c r="O9" s="78"/>
      <c r="P9" s="78"/>
    </row>
    <row r="10" spans="1:16" ht="28.5" customHeight="1">
      <c r="A10" s="78"/>
      <c r="B10" s="154" t="s">
        <v>447</v>
      </c>
      <c r="C10" s="154"/>
      <c r="D10" s="154"/>
      <c r="E10" s="154"/>
      <c r="F10" s="154"/>
      <c r="G10" s="154"/>
      <c r="H10" s="154"/>
      <c r="I10" s="154"/>
      <c r="J10" s="154"/>
      <c r="K10" s="154"/>
      <c r="L10" s="113"/>
      <c r="M10" s="78"/>
      <c r="N10" s="78"/>
      <c r="O10" s="78"/>
      <c r="P10" s="78"/>
    </row>
    <row r="11" spans="1:16" ht="28.5" customHeight="1">
      <c r="A11" s="78"/>
      <c r="B11" s="154" t="s">
        <v>448</v>
      </c>
      <c r="C11" s="154"/>
      <c r="D11" s="154"/>
      <c r="E11" s="154"/>
      <c r="F11" s="154"/>
      <c r="G11" s="154"/>
      <c r="H11" s="154"/>
      <c r="I11" s="154"/>
      <c r="J11" s="154"/>
      <c r="K11" s="154"/>
      <c r="L11" s="113"/>
      <c r="M11" s="78"/>
      <c r="N11" s="78"/>
      <c r="O11" s="78"/>
      <c r="P11" s="78"/>
    </row>
    <row r="12" spans="1:16">
      <c r="A12" s="78"/>
      <c r="B12" s="113"/>
      <c r="C12" s="113"/>
      <c r="D12" s="113"/>
      <c r="E12" s="113"/>
      <c r="F12" s="113"/>
      <c r="G12" s="113"/>
      <c r="H12" s="113"/>
      <c r="I12" s="113"/>
      <c r="J12" s="113"/>
      <c r="K12" s="113"/>
      <c r="L12" s="113"/>
      <c r="M12" s="78"/>
      <c r="N12" s="78"/>
      <c r="O12" s="78"/>
      <c r="P12" s="78"/>
    </row>
    <row r="13" spans="1:16">
      <c r="A13" s="78"/>
      <c r="B13" s="121" t="s">
        <v>443</v>
      </c>
      <c r="C13" s="113"/>
      <c r="D13" s="114">
        <v>41455</v>
      </c>
      <c r="E13" s="113"/>
      <c r="F13" s="113"/>
      <c r="G13" s="113"/>
      <c r="H13" s="113"/>
      <c r="I13" s="113"/>
      <c r="J13" s="113"/>
      <c r="K13" s="113"/>
      <c r="L13" s="113"/>
      <c r="M13" s="78"/>
      <c r="N13" s="78"/>
      <c r="O13" s="78"/>
      <c r="P13" s="78"/>
    </row>
    <row r="14" spans="1:16" ht="54.75" customHeight="1">
      <c r="A14" s="78"/>
      <c r="B14" s="154" t="s">
        <v>449</v>
      </c>
      <c r="C14" s="154"/>
      <c r="D14" s="154"/>
      <c r="E14" s="154"/>
      <c r="F14" s="154"/>
      <c r="G14" s="154"/>
      <c r="H14" s="154"/>
      <c r="I14" s="154"/>
      <c r="J14" s="154"/>
      <c r="K14" s="154"/>
      <c r="L14" s="113"/>
      <c r="M14" s="78"/>
      <c r="N14" s="78"/>
      <c r="O14" s="78"/>
      <c r="P14" s="78"/>
    </row>
    <row r="15" spans="1:16" ht="28.5" customHeight="1">
      <c r="A15" s="78"/>
      <c r="B15" s="154" t="s">
        <v>450</v>
      </c>
      <c r="C15" s="154"/>
      <c r="D15" s="154"/>
      <c r="E15" s="154"/>
      <c r="F15" s="154"/>
      <c r="G15" s="154"/>
      <c r="H15" s="154"/>
      <c r="I15" s="154"/>
      <c r="J15" s="154"/>
      <c r="K15" s="154"/>
      <c r="L15" s="113"/>
      <c r="M15" s="78"/>
      <c r="N15" s="78"/>
      <c r="O15" s="78"/>
      <c r="P15" s="78"/>
    </row>
    <row r="16" spans="1:16" ht="28.5" customHeight="1">
      <c r="A16" s="78"/>
      <c r="B16" s="154" t="s">
        <v>451</v>
      </c>
      <c r="C16" s="154"/>
      <c r="D16" s="154"/>
      <c r="E16" s="154"/>
      <c r="F16" s="154"/>
      <c r="G16" s="154"/>
      <c r="H16" s="154"/>
      <c r="I16" s="154"/>
      <c r="J16" s="154"/>
      <c r="K16" s="154"/>
      <c r="L16" s="113"/>
      <c r="M16" s="78"/>
      <c r="N16" s="78"/>
      <c r="O16" s="78"/>
      <c r="P16" s="78"/>
    </row>
    <row r="17" spans="1:16">
      <c r="A17" s="78"/>
      <c r="B17" s="113"/>
      <c r="C17" s="113"/>
      <c r="D17" s="113"/>
      <c r="E17" s="113"/>
      <c r="F17" s="113"/>
      <c r="G17" s="113"/>
      <c r="H17" s="113"/>
      <c r="I17" s="113"/>
      <c r="J17" s="113"/>
      <c r="K17" s="113"/>
      <c r="L17" s="113"/>
      <c r="M17" s="78"/>
      <c r="N17" s="78"/>
      <c r="O17" s="78"/>
      <c r="P17" s="78"/>
    </row>
    <row r="18" spans="1:16">
      <c r="A18" s="78"/>
      <c r="B18" s="121" t="s">
        <v>443</v>
      </c>
      <c r="C18" s="113"/>
      <c r="D18" s="114">
        <v>41593</v>
      </c>
      <c r="E18" s="113"/>
      <c r="F18" s="113"/>
      <c r="G18" s="113"/>
      <c r="H18" s="113"/>
      <c r="I18" s="113"/>
      <c r="J18" s="113"/>
      <c r="K18" s="113"/>
      <c r="L18" s="113"/>
      <c r="M18" s="78"/>
      <c r="N18" s="78"/>
      <c r="O18" s="78"/>
      <c r="P18" s="78"/>
    </row>
    <row r="19" spans="1:16" ht="43.5" customHeight="1">
      <c r="A19" s="78"/>
      <c r="B19" s="154" t="s">
        <v>452</v>
      </c>
      <c r="C19" s="154"/>
      <c r="D19" s="154"/>
      <c r="E19" s="154"/>
      <c r="F19" s="154"/>
      <c r="G19" s="154"/>
      <c r="H19" s="154"/>
      <c r="I19" s="154"/>
      <c r="J19" s="154"/>
      <c r="K19" s="154"/>
      <c r="L19" s="113"/>
      <c r="M19" s="78"/>
      <c r="N19" s="78"/>
      <c r="O19" s="78"/>
      <c r="P19" s="78"/>
    </row>
    <row r="20" spans="1:16">
      <c r="A20" s="78"/>
      <c r="B20" s="113"/>
      <c r="C20" s="113"/>
      <c r="D20" s="113"/>
      <c r="E20" s="113"/>
      <c r="F20" s="113"/>
      <c r="G20" s="113"/>
      <c r="H20" s="113"/>
      <c r="I20" s="113"/>
      <c r="J20" s="113"/>
      <c r="K20" s="113"/>
      <c r="L20" s="113"/>
      <c r="M20" s="78"/>
      <c r="N20" s="78"/>
      <c r="O20" s="78"/>
      <c r="P20" s="78"/>
    </row>
    <row r="21" spans="1:16">
      <c r="A21" s="78"/>
      <c r="B21" s="121" t="s">
        <v>443</v>
      </c>
      <c r="C21" s="113"/>
      <c r="D21" s="114">
        <v>41698</v>
      </c>
      <c r="E21" s="113"/>
      <c r="F21" s="113"/>
      <c r="G21" s="113"/>
      <c r="H21" s="113"/>
      <c r="I21" s="113"/>
      <c r="J21" s="113"/>
      <c r="K21" s="113"/>
      <c r="L21" s="113"/>
      <c r="M21" s="78"/>
      <c r="N21" s="78"/>
      <c r="O21" s="78"/>
      <c r="P21" s="78"/>
    </row>
    <row r="22" spans="1:16" ht="28.5" customHeight="1">
      <c r="A22" s="78"/>
      <c r="B22" s="154" t="s">
        <v>453</v>
      </c>
      <c r="C22" s="154"/>
      <c r="D22" s="154"/>
      <c r="E22" s="154"/>
      <c r="F22" s="154"/>
      <c r="G22" s="154"/>
      <c r="H22" s="154"/>
      <c r="I22" s="154"/>
      <c r="J22" s="154"/>
      <c r="K22" s="154"/>
      <c r="L22" s="113"/>
      <c r="M22" s="78"/>
      <c r="N22" s="78"/>
      <c r="O22" s="78"/>
      <c r="P22" s="78"/>
    </row>
    <row r="23" spans="1:16">
      <c r="A23" s="78"/>
      <c r="B23" s="125"/>
      <c r="C23" s="125"/>
      <c r="D23" s="125"/>
      <c r="E23" s="125"/>
      <c r="F23" s="125"/>
      <c r="G23" s="125"/>
      <c r="H23" s="125"/>
      <c r="I23" s="125"/>
      <c r="J23" s="125"/>
      <c r="K23" s="125"/>
      <c r="L23" s="113"/>
      <c r="M23" s="78"/>
      <c r="N23" s="78"/>
      <c r="O23" s="78"/>
      <c r="P23" s="78"/>
    </row>
    <row r="24" spans="1:16">
      <c r="A24" s="78"/>
      <c r="B24" s="121" t="s">
        <v>443</v>
      </c>
      <c r="C24" s="113"/>
      <c r="D24" s="114">
        <v>41789</v>
      </c>
      <c r="E24" s="113"/>
      <c r="F24" s="113"/>
      <c r="G24" s="113"/>
      <c r="H24" s="113"/>
      <c r="I24" s="113"/>
      <c r="J24" s="113"/>
      <c r="K24" s="113"/>
      <c r="L24" s="113"/>
      <c r="M24" s="78"/>
      <c r="N24" s="78"/>
      <c r="O24" s="78"/>
      <c r="P24" s="78"/>
    </row>
    <row r="25" spans="1:16" ht="28.5" customHeight="1">
      <c r="A25" s="78"/>
      <c r="B25" s="46" t="s">
        <v>454</v>
      </c>
      <c r="C25" s="47"/>
      <c r="D25" s="48"/>
      <c r="E25" s="47"/>
      <c r="F25" s="47"/>
      <c r="G25" s="47"/>
      <c r="H25" s="47"/>
      <c r="I25" s="47"/>
      <c r="J25" s="47"/>
      <c r="K25" s="47"/>
      <c r="L25" s="113"/>
      <c r="M25" s="78"/>
      <c r="N25" s="78"/>
      <c r="O25" s="78"/>
      <c r="P25" s="78"/>
    </row>
    <row r="26" spans="1:16" ht="28.5" customHeight="1">
      <c r="A26" s="78"/>
      <c r="B26" s="46" t="s">
        <v>455</v>
      </c>
      <c r="C26" s="46"/>
      <c r="D26" s="46"/>
      <c r="E26" s="46"/>
      <c r="F26" s="46"/>
      <c r="G26" s="46"/>
      <c r="H26" s="46"/>
      <c r="I26" s="46"/>
      <c r="J26" s="46"/>
      <c r="K26" s="46"/>
      <c r="L26" s="113"/>
      <c r="M26" s="78"/>
      <c r="N26" s="78"/>
      <c r="O26" s="78"/>
      <c r="P26" s="78"/>
    </row>
    <row r="27" spans="1:16" ht="28.5" customHeight="1">
      <c r="A27" s="78"/>
      <c r="B27" s="46" t="s">
        <v>456</v>
      </c>
      <c r="C27" s="46"/>
      <c r="D27" s="46"/>
      <c r="E27" s="46"/>
      <c r="F27" s="46"/>
      <c r="G27" s="46"/>
      <c r="H27" s="46"/>
      <c r="I27" s="46"/>
      <c r="J27" s="46"/>
      <c r="K27" s="46"/>
      <c r="L27" s="113"/>
      <c r="M27" s="78"/>
      <c r="N27" s="78"/>
      <c r="O27" s="78"/>
      <c r="P27" s="78"/>
    </row>
    <row r="28" spans="1:16" ht="28.5" customHeight="1">
      <c r="A28" s="78"/>
      <c r="B28" s="154" t="s">
        <v>457</v>
      </c>
      <c r="C28" s="154"/>
      <c r="D28" s="154"/>
      <c r="E28" s="154"/>
      <c r="F28" s="154"/>
      <c r="G28" s="154"/>
      <c r="H28" s="154"/>
      <c r="I28" s="154"/>
      <c r="J28" s="154"/>
      <c r="K28" s="154"/>
      <c r="L28" s="113"/>
      <c r="M28" s="78"/>
      <c r="N28" s="78"/>
      <c r="O28" s="78"/>
      <c r="P28" s="78"/>
    </row>
    <row r="29" spans="1:16" ht="54.75" customHeight="1">
      <c r="A29" s="78"/>
      <c r="B29" s="154" t="s">
        <v>677</v>
      </c>
      <c r="C29" s="154"/>
      <c r="D29" s="154"/>
      <c r="E29" s="154"/>
      <c r="F29" s="154"/>
      <c r="G29" s="154"/>
      <c r="H29" s="154"/>
      <c r="I29" s="154"/>
      <c r="J29" s="154"/>
      <c r="K29" s="154"/>
      <c r="L29" s="113"/>
      <c r="M29" s="78"/>
      <c r="N29" s="78"/>
      <c r="O29" s="78"/>
      <c r="P29" s="78"/>
    </row>
    <row r="30" spans="1:16" ht="43.5" customHeight="1">
      <c r="A30" s="78"/>
      <c r="B30" s="154" t="s">
        <v>458</v>
      </c>
      <c r="C30" s="154"/>
      <c r="D30" s="154"/>
      <c r="E30" s="154"/>
      <c r="F30" s="154"/>
      <c r="G30" s="154"/>
      <c r="H30" s="154"/>
      <c r="I30" s="154"/>
      <c r="J30" s="154"/>
      <c r="K30" s="154"/>
      <c r="L30" s="113"/>
      <c r="M30" s="78"/>
      <c r="N30" s="78"/>
      <c r="O30" s="78"/>
      <c r="P30" s="78"/>
    </row>
    <row r="31" spans="1:16">
      <c r="A31" s="78"/>
      <c r="B31" s="113"/>
      <c r="C31" s="113"/>
      <c r="D31" s="113"/>
      <c r="E31" s="113"/>
      <c r="F31" s="113"/>
      <c r="G31" s="113"/>
      <c r="H31" s="113"/>
      <c r="I31" s="113"/>
      <c r="J31" s="113"/>
      <c r="K31" s="113"/>
      <c r="L31" s="113"/>
      <c r="M31" s="78"/>
      <c r="N31" s="78"/>
      <c r="O31" s="78"/>
      <c r="P31" s="78"/>
    </row>
    <row r="32" spans="1:16">
      <c r="A32" s="78"/>
      <c r="B32" s="121" t="s">
        <v>443</v>
      </c>
      <c r="C32" s="113"/>
      <c r="D32" s="114">
        <v>41858</v>
      </c>
      <c r="E32" s="113"/>
      <c r="F32" s="113"/>
      <c r="G32" s="113"/>
      <c r="H32" s="113"/>
      <c r="I32" s="113"/>
      <c r="J32" s="113"/>
      <c r="K32" s="113"/>
      <c r="L32" s="113"/>
      <c r="M32" s="78"/>
      <c r="N32" s="78"/>
      <c r="O32" s="78"/>
      <c r="P32" s="78"/>
    </row>
    <row r="33" spans="1:16" ht="28.5" customHeight="1">
      <c r="A33" s="78"/>
      <c r="B33" s="149" t="s">
        <v>678</v>
      </c>
      <c r="C33" s="157"/>
      <c r="D33" s="157"/>
      <c r="E33" s="157"/>
      <c r="F33" s="157"/>
      <c r="G33" s="157"/>
      <c r="H33" s="157"/>
      <c r="I33" s="157"/>
      <c r="J33" s="157"/>
      <c r="K33" s="157"/>
      <c r="L33" s="113"/>
      <c r="M33" s="78"/>
      <c r="N33" s="78"/>
      <c r="O33" s="78"/>
      <c r="P33" s="78"/>
    </row>
    <row r="34" spans="1:16" ht="28.5" customHeight="1">
      <c r="A34" s="78"/>
      <c r="B34" s="157" t="s">
        <v>459</v>
      </c>
      <c r="C34" s="157"/>
      <c r="D34" s="157"/>
      <c r="E34" s="157"/>
      <c r="F34" s="157"/>
      <c r="G34" s="157"/>
      <c r="H34" s="157"/>
      <c r="I34" s="157"/>
      <c r="J34" s="157"/>
      <c r="K34" s="157"/>
      <c r="L34" s="113"/>
      <c r="M34" s="78"/>
      <c r="N34" s="78"/>
      <c r="O34" s="78"/>
      <c r="P34" s="78"/>
    </row>
    <row r="35" spans="1:16">
      <c r="A35" s="78"/>
      <c r="B35" s="113"/>
      <c r="C35" s="113"/>
      <c r="D35" s="113"/>
      <c r="E35" s="113"/>
      <c r="F35" s="113"/>
      <c r="G35" s="113"/>
      <c r="H35" s="113"/>
      <c r="I35" s="113"/>
      <c r="J35" s="113"/>
      <c r="K35" s="113"/>
      <c r="L35" s="113"/>
      <c r="M35" s="78"/>
      <c r="N35" s="78"/>
      <c r="O35" s="78"/>
      <c r="P35" s="78"/>
    </row>
    <row r="36" spans="1:16">
      <c r="A36" s="78"/>
      <c r="B36" s="121" t="s">
        <v>443</v>
      </c>
      <c r="C36" s="113"/>
      <c r="D36" s="114">
        <v>41983</v>
      </c>
      <c r="E36" s="113"/>
      <c r="F36" s="113"/>
      <c r="G36" s="113"/>
      <c r="H36" s="113"/>
      <c r="I36" s="113"/>
      <c r="J36" s="113"/>
      <c r="K36" s="113"/>
      <c r="L36" s="113"/>
      <c r="M36" s="78"/>
      <c r="N36" s="78"/>
      <c r="O36" s="78"/>
      <c r="P36" s="78"/>
    </row>
    <row r="37" spans="1:16" ht="28.5" customHeight="1">
      <c r="A37" s="78"/>
      <c r="B37" s="154" t="s">
        <v>460</v>
      </c>
      <c r="C37" s="154"/>
      <c r="D37" s="154"/>
      <c r="E37" s="154"/>
      <c r="F37" s="154"/>
      <c r="G37" s="154"/>
      <c r="H37" s="154"/>
      <c r="I37" s="154"/>
      <c r="J37" s="154"/>
      <c r="K37" s="154"/>
      <c r="L37" s="113"/>
      <c r="M37" s="78"/>
      <c r="N37" s="78"/>
      <c r="O37" s="78"/>
      <c r="P37" s="78"/>
    </row>
    <row r="38" spans="1:16">
      <c r="A38" s="78"/>
      <c r="B38" s="124"/>
      <c r="C38" s="124"/>
      <c r="D38" s="124"/>
      <c r="E38" s="124"/>
      <c r="F38" s="124"/>
      <c r="G38" s="124"/>
      <c r="H38" s="124"/>
      <c r="I38" s="124"/>
      <c r="J38" s="124"/>
      <c r="K38" s="124"/>
      <c r="L38" s="113"/>
      <c r="M38" s="78"/>
      <c r="N38" s="78"/>
      <c r="O38" s="78"/>
      <c r="P38" s="78"/>
    </row>
    <row r="39" spans="1:16">
      <c r="A39" s="78"/>
      <c r="B39" s="121" t="s">
        <v>443</v>
      </c>
      <c r="C39" s="113"/>
      <c r="D39" s="114">
        <v>42109</v>
      </c>
      <c r="E39" s="113"/>
      <c r="F39" s="113"/>
      <c r="G39" s="113"/>
      <c r="H39" s="113"/>
      <c r="I39" s="113"/>
      <c r="J39" s="113"/>
      <c r="K39" s="113"/>
      <c r="L39" s="113"/>
      <c r="M39" s="78"/>
      <c r="N39" s="78"/>
      <c r="O39" s="78"/>
      <c r="P39" s="78"/>
    </row>
    <row r="40" spans="1:16" ht="28.5" customHeight="1">
      <c r="A40" s="78"/>
      <c r="B40" s="154" t="s">
        <v>461</v>
      </c>
      <c r="C40" s="154"/>
      <c r="D40" s="154"/>
      <c r="E40" s="154"/>
      <c r="F40" s="154"/>
      <c r="G40" s="154"/>
      <c r="H40" s="154"/>
      <c r="I40" s="154"/>
      <c r="J40" s="154"/>
      <c r="K40" s="154"/>
      <c r="L40" s="113"/>
      <c r="M40" s="78"/>
      <c r="N40" s="78"/>
      <c r="O40" s="78"/>
      <c r="P40" s="78"/>
    </row>
    <row r="41" spans="1:16" ht="28.5" customHeight="1">
      <c r="A41" s="78"/>
      <c r="B41" s="156" t="s">
        <v>679</v>
      </c>
      <c r="C41" s="154"/>
      <c r="D41" s="154"/>
      <c r="E41" s="154"/>
      <c r="F41" s="154"/>
      <c r="G41" s="154"/>
      <c r="H41" s="154"/>
      <c r="I41" s="154"/>
      <c r="J41" s="154"/>
      <c r="K41" s="154"/>
      <c r="L41" s="113"/>
      <c r="M41" s="78"/>
      <c r="N41" s="78"/>
      <c r="O41" s="78"/>
      <c r="P41" s="78"/>
    </row>
    <row r="42" spans="1:16">
      <c r="A42" s="78"/>
      <c r="B42" s="113"/>
      <c r="C42" s="113"/>
      <c r="D42" s="113"/>
      <c r="E42" s="113"/>
      <c r="F42" s="113"/>
      <c r="G42" s="113"/>
      <c r="H42" s="113"/>
      <c r="I42" s="113"/>
      <c r="J42" s="113"/>
      <c r="K42" s="113"/>
      <c r="L42" s="113"/>
      <c r="M42" s="78"/>
      <c r="N42" s="78"/>
      <c r="O42" s="78"/>
      <c r="P42" s="78"/>
    </row>
    <row r="43" spans="1:16">
      <c r="A43" s="78"/>
      <c r="B43" s="121" t="s">
        <v>443</v>
      </c>
      <c r="C43" s="113"/>
      <c r="D43" s="114">
        <v>42229</v>
      </c>
      <c r="E43" s="113"/>
      <c r="F43" s="113"/>
      <c r="G43" s="113"/>
      <c r="H43" s="113"/>
      <c r="I43" s="113"/>
      <c r="J43" s="113"/>
      <c r="K43" s="113"/>
      <c r="L43" s="113"/>
      <c r="M43" s="78"/>
      <c r="N43" s="78"/>
      <c r="O43" s="78"/>
      <c r="P43" s="78"/>
    </row>
    <row r="44" spans="1:16" ht="28.5" customHeight="1">
      <c r="A44" s="78"/>
      <c r="B44" s="154" t="s">
        <v>462</v>
      </c>
      <c r="C44" s="154"/>
      <c r="D44" s="154"/>
      <c r="E44" s="154"/>
      <c r="F44" s="154"/>
      <c r="G44" s="154"/>
      <c r="H44" s="154"/>
      <c r="I44" s="154"/>
      <c r="J44" s="154"/>
      <c r="K44" s="154"/>
      <c r="L44" s="113"/>
      <c r="M44" s="78"/>
      <c r="N44" s="78"/>
      <c r="O44" s="78"/>
      <c r="P44" s="78"/>
    </row>
    <row r="45" spans="1:16">
      <c r="A45" s="78"/>
      <c r="B45" s="113"/>
      <c r="C45" s="113"/>
      <c r="D45" s="113"/>
      <c r="E45" s="113"/>
      <c r="F45" s="113"/>
      <c r="G45" s="113"/>
      <c r="H45" s="113"/>
      <c r="I45" s="113"/>
      <c r="J45" s="113"/>
      <c r="K45" s="113"/>
      <c r="L45" s="113"/>
      <c r="M45" s="78"/>
      <c r="N45" s="78"/>
      <c r="O45" s="78"/>
      <c r="P45" s="78"/>
    </row>
    <row r="46" spans="1:16">
      <c r="A46" s="78"/>
      <c r="B46" s="121" t="s">
        <v>443</v>
      </c>
      <c r="C46" s="113"/>
      <c r="D46" s="114">
        <v>42432</v>
      </c>
      <c r="E46" s="113"/>
      <c r="F46" s="113"/>
      <c r="G46" s="113"/>
      <c r="H46" s="113"/>
      <c r="I46" s="113"/>
      <c r="J46" s="113"/>
      <c r="K46" s="113"/>
      <c r="L46" s="113"/>
      <c r="M46" s="78"/>
      <c r="N46" s="78"/>
      <c r="O46" s="78"/>
      <c r="P46" s="78"/>
    </row>
    <row r="47" spans="1:16" ht="28.5" customHeight="1">
      <c r="A47" s="78"/>
      <c r="B47" s="155" t="s">
        <v>463</v>
      </c>
      <c r="C47" s="155"/>
      <c r="D47" s="155"/>
      <c r="E47" s="155"/>
      <c r="F47" s="155"/>
      <c r="G47" s="155"/>
      <c r="H47" s="155"/>
      <c r="I47" s="155"/>
      <c r="J47" s="155"/>
      <c r="K47" s="155"/>
      <c r="L47" s="155"/>
      <c r="M47" s="78"/>
      <c r="N47" s="78"/>
      <c r="O47" s="78"/>
      <c r="P47" s="78"/>
    </row>
    <row r="48" spans="1:16" ht="28.5" customHeight="1">
      <c r="A48" s="78"/>
      <c r="B48" s="149" t="s">
        <v>464</v>
      </c>
      <c r="C48" s="149"/>
      <c r="D48" s="149"/>
      <c r="E48" s="149"/>
      <c r="F48" s="149"/>
      <c r="G48" s="149"/>
      <c r="H48" s="149"/>
      <c r="I48" s="149"/>
      <c r="J48" s="149"/>
      <c r="K48" s="149"/>
      <c r="L48" s="149"/>
      <c r="M48" s="78"/>
      <c r="N48" s="78"/>
      <c r="O48" s="78"/>
      <c r="P48" s="78"/>
    </row>
    <row r="49" spans="1:16" ht="28.5" customHeight="1">
      <c r="A49" s="78"/>
      <c r="B49" s="149" t="s">
        <v>465</v>
      </c>
      <c r="C49" s="149"/>
      <c r="D49" s="149"/>
      <c r="E49" s="149"/>
      <c r="F49" s="149"/>
      <c r="G49" s="149"/>
      <c r="H49" s="149"/>
      <c r="I49" s="149"/>
      <c r="J49" s="149"/>
      <c r="K49" s="149"/>
      <c r="L49" s="149"/>
      <c r="M49" s="78"/>
      <c r="N49" s="78"/>
      <c r="O49" s="78"/>
      <c r="P49" s="78"/>
    </row>
    <row r="50" spans="1:16" ht="54.75" customHeight="1">
      <c r="A50" s="78"/>
      <c r="B50" s="149" t="s">
        <v>466</v>
      </c>
      <c r="C50" s="149"/>
      <c r="D50" s="149"/>
      <c r="E50" s="149"/>
      <c r="F50" s="149"/>
      <c r="G50" s="149"/>
      <c r="H50" s="149"/>
      <c r="I50" s="149"/>
      <c r="J50" s="149"/>
      <c r="K50" s="149"/>
      <c r="L50" s="113"/>
      <c r="M50" s="78"/>
      <c r="N50" s="78"/>
      <c r="O50" s="78"/>
      <c r="P50" s="78"/>
    </row>
    <row r="51" spans="1:16" ht="28.5" customHeight="1">
      <c r="A51" s="78"/>
      <c r="B51" s="152" t="s">
        <v>467</v>
      </c>
      <c r="C51" s="149"/>
      <c r="D51" s="149"/>
      <c r="E51" s="149"/>
      <c r="F51" s="149"/>
      <c r="G51" s="149"/>
      <c r="H51" s="149"/>
      <c r="I51" s="149"/>
      <c r="J51" s="149"/>
      <c r="K51" s="149"/>
      <c r="L51" s="149"/>
      <c r="M51" s="78"/>
      <c r="N51" s="78"/>
      <c r="O51" s="78"/>
      <c r="P51" s="78"/>
    </row>
    <row r="52" spans="1:16">
      <c r="A52" s="78"/>
      <c r="B52" s="113"/>
      <c r="C52" s="113"/>
      <c r="D52" s="113"/>
      <c r="E52" s="113"/>
      <c r="F52" s="113"/>
      <c r="G52" s="113"/>
      <c r="H52" s="113"/>
      <c r="I52" s="113"/>
      <c r="J52" s="113"/>
      <c r="K52" s="113"/>
      <c r="L52" s="113"/>
      <c r="M52" s="78"/>
      <c r="N52" s="78"/>
      <c r="O52" s="78"/>
      <c r="P52" s="78"/>
    </row>
    <row r="53" spans="1:16">
      <c r="A53" s="78"/>
      <c r="B53" s="121" t="s">
        <v>443</v>
      </c>
      <c r="C53" s="113"/>
      <c r="D53" s="114">
        <v>42475</v>
      </c>
      <c r="E53" s="113"/>
      <c r="F53" s="113"/>
      <c r="G53" s="113"/>
      <c r="H53" s="113"/>
      <c r="I53" s="113"/>
      <c r="J53" s="113"/>
      <c r="K53" s="113"/>
      <c r="L53" s="113"/>
      <c r="M53" s="78"/>
      <c r="N53" s="78"/>
      <c r="O53" s="78"/>
      <c r="P53" s="78"/>
    </row>
    <row r="54" spans="1:16" ht="28.5" customHeight="1">
      <c r="A54" s="78"/>
      <c r="B54" s="155" t="s">
        <v>463</v>
      </c>
      <c r="C54" s="155"/>
      <c r="D54" s="155"/>
      <c r="E54" s="155"/>
      <c r="F54" s="155"/>
      <c r="G54" s="155"/>
      <c r="H54" s="155"/>
      <c r="I54" s="155"/>
      <c r="J54" s="155"/>
      <c r="K54" s="155"/>
      <c r="L54" s="155"/>
      <c r="M54" s="78"/>
      <c r="N54" s="78"/>
      <c r="O54" s="78"/>
      <c r="P54" s="78"/>
    </row>
    <row r="55" spans="1:16" ht="28.5" customHeight="1">
      <c r="A55" s="78"/>
      <c r="B55" s="149" t="s">
        <v>464</v>
      </c>
      <c r="C55" s="149"/>
      <c r="D55" s="149"/>
      <c r="E55" s="149"/>
      <c r="F55" s="149"/>
      <c r="G55" s="149"/>
      <c r="H55" s="149"/>
      <c r="I55" s="149"/>
      <c r="J55" s="149"/>
      <c r="K55" s="149"/>
      <c r="L55" s="149"/>
      <c r="M55" s="78"/>
      <c r="N55" s="78"/>
      <c r="O55" s="78"/>
      <c r="P55" s="78"/>
    </row>
    <row r="56" spans="1:16" ht="28.5" customHeight="1">
      <c r="A56" s="78"/>
      <c r="B56" s="149" t="s">
        <v>465</v>
      </c>
      <c r="C56" s="149"/>
      <c r="D56" s="149"/>
      <c r="E56" s="149"/>
      <c r="F56" s="149"/>
      <c r="G56" s="149"/>
      <c r="H56" s="149"/>
      <c r="I56" s="149"/>
      <c r="J56" s="149"/>
      <c r="K56" s="149"/>
      <c r="L56" s="149"/>
      <c r="M56" s="78"/>
      <c r="N56" s="78"/>
      <c r="O56" s="78"/>
      <c r="P56" s="78"/>
    </row>
    <row r="57" spans="1:16" ht="54.75" customHeight="1">
      <c r="A57" s="78"/>
      <c r="B57" s="149" t="s">
        <v>466</v>
      </c>
      <c r="C57" s="149"/>
      <c r="D57" s="149"/>
      <c r="E57" s="149"/>
      <c r="F57" s="149"/>
      <c r="G57" s="149"/>
      <c r="H57" s="149"/>
      <c r="I57" s="149"/>
      <c r="J57" s="149"/>
      <c r="K57" s="149"/>
      <c r="L57" s="113"/>
      <c r="M57" s="78"/>
      <c r="N57" s="78"/>
      <c r="O57" s="78"/>
      <c r="P57" s="78"/>
    </row>
    <row r="58" spans="1:16" ht="28.5" customHeight="1">
      <c r="A58" s="78"/>
      <c r="B58" s="152" t="s">
        <v>467</v>
      </c>
      <c r="C58" s="149"/>
      <c r="D58" s="149"/>
      <c r="E58" s="149"/>
      <c r="F58" s="149"/>
      <c r="G58" s="149"/>
      <c r="H58" s="149"/>
      <c r="I58" s="149"/>
      <c r="J58" s="149"/>
      <c r="K58" s="149"/>
      <c r="L58" s="149"/>
      <c r="M58" s="78"/>
      <c r="N58" s="78"/>
      <c r="O58" s="78"/>
      <c r="P58" s="78"/>
    </row>
    <row r="59" spans="1:16" ht="28.5" customHeight="1">
      <c r="A59" s="78"/>
      <c r="B59" s="152" t="s">
        <v>468</v>
      </c>
      <c r="C59" s="152"/>
      <c r="D59" s="152"/>
      <c r="E59" s="152"/>
      <c r="F59" s="152"/>
      <c r="G59" s="152"/>
      <c r="H59" s="152"/>
      <c r="I59" s="152"/>
      <c r="J59" s="152"/>
      <c r="K59" s="152"/>
      <c r="L59" s="152"/>
      <c r="M59" s="78"/>
      <c r="N59" s="78"/>
      <c r="O59" s="78"/>
      <c r="P59" s="78"/>
    </row>
    <row r="60" spans="1:16">
      <c r="A60" s="78"/>
      <c r="B60" s="123"/>
      <c r="C60" s="123"/>
      <c r="D60" s="123"/>
      <c r="E60" s="123"/>
      <c r="F60" s="123"/>
      <c r="G60" s="123"/>
      <c r="H60" s="123"/>
      <c r="I60" s="123"/>
      <c r="J60" s="123"/>
      <c r="K60" s="123"/>
      <c r="L60" s="123"/>
      <c r="M60" s="78"/>
      <c r="N60" s="78"/>
      <c r="O60" s="78"/>
      <c r="P60" s="78"/>
    </row>
    <row r="61" spans="1:16">
      <c r="A61" s="78"/>
      <c r="B61" s="121" t="s">
        <v>443</v>
      </c>
      <c r="C61" s="113"/>
      <c r="D61" s="114">
        <v>42593</v>
      </c>
      <c r="E61" s="78"/>
      <c r="F61" s="78"/>
      <c r="G61" s="78"/>
      <c r="H61" s="78"/>
      <c r="I61" s="78"/>
      <c r="J61" s="78"/>
      <c r="K61" s="78"/>
      <c r="L61" s="78"/>
      <c r="M61" s="78"/>
      <c r="N61" s="78"/>
      <c r="O61" s="78"/>
      <c r="P61" s="78"/>
    </row>
    <row r="62" spans="1:16" ht="27.75" customHeight="1">
      <c r="A62" s="78"/>
      <c r="B62" s="152" t="s">
        <v>680</v>
      </c>
      <c r="C62" s="152"/>
      <c r="D62" s="152"/>
      <c r="E62" s="152"/>
      <c r="F62" s="152"/>
      <c r="G62" s="152"/>
      <c r="H62" s="152"/>
      <c r="I62" s="152"/>
      <c r="J62" s="152"/>
      <c r="K62" s="152"/>
      <c r="L62" s="152"/>
      <c r="M62" s="78"/>
      <c r="N62" s="78"/>
      <c r="O62" s="78"/>
      <c r="P62" s="78"/>
    </row>
    <row r="63" spans="1:16" ht="17.25" customHeight="1">
      <c r="A63" s="78"/>
      <c r="B63" s="152" t="s">
        <v>469</v>
      </c>
      <c r="C63" s="152"/>
      <c r="D63" s="152"/>
      <c r="E63" s="152"/>
      <c r="F63" s="152"/>
      <c r="G63" s="152"/>
      <c r="H63" s="152"/>
      <c r="I63" s="152"/>
      <c r="J63" s="152"/>
      <c r="K63" s="152"/>
      <c r="L63" s="152"/>
      <c r="M63" s="78"/>
      <c r="N63" s="78"/>
      <c r="O63" s="78"/>
      <c r="P63" s="78"/>
    </row>
    <row r="64" spans="1:16" ht="17.25" customHeight="1">
      <c r="A64" s="78"/>
      <c r="B64" s="37" t="s">
        <v>470</v>
      </c>
      <c r="C64" s="38"/>
      <c r="D64" s="38"/>
      <c r="E64" s="38"/>
      <c r="F64" s="38"/>
      <c r="G64" s="38"/>
      <c r="H64" s="38"/>
      <c r="I64" s="38"/>
      <c r="J64" s="38"/>
      <c r="K64" s="38"/>
      <c r="L64" s="38"/>
      <c r="M64" s="78"/>
      <c r="N64" s="78"/>
      <c r="O64" s="78"/>
      <c r="P64" s="78"/>
    </row>
    <row r="65" spans="1:16" ht="21" customHeight="1">
      <c r="A65" s="78"/>
      <c r="B65" s="152" t="s">
        <v>471</v>
      </c>
      <c r="C65" s="152"/>
      <c r="D65" s="152"/>
      <c r="E65" s="152"/>
      <c r="F65" s="152"/>
      <c r="G65" s="152"/>
      <c r="H65" s="152"/>
      <c r="I65" s="152"/>
      <c r="J65" s="152"/>
      <c r="K65" s="152"/>
      <c r="L65" s="152"/>
      <c r="M65" s="78"/>
      <c r="N65" s="78"/>
      <c r="O65" s="78"/>
      <c r="P65" s="78"/>
    </row>
    <row r="66" spans="1:16" ht="15" customHeight="1">
      <c r="A66" s="78"/>
      <c r="B66" s="152" t="s">
        <v>472</v>
      </c>
      <c r="C66" s="152"/>
      <c r="D66" s="152"/>
      <c r="E66" s="152"/>
      <c r="F66" s="152"/>
      <c r="G66" s="152"/>
      <c r="H66" s="152"/>
      <c r="I66" s="152"/>
      <c r="J66" s="152"/>
      <c r="K66" s="152"/>
      <c r="L66" s="152"/>
      <c r="M66" s="78"/>
      <c r="N66" s="78"/>
      <c r="O66" s="78"/>
      <c r="P66" s="78"/>
    </row>
    <row r="67" spans="1:16">
      <c r="A67" s="78"/>
      <c r="B67" s="78"/>
      <c r="C67" s="78"/>
      <c r="D67" s="78"/>
      <c r="E67" s="78"/>
      <c r="F67" s="78"/>
      <c r="G67" s="78"/>
      <c r="H67" s="78"/>
      <c r="I67" s="78"/>
      <c r="J67" s="78"/>
      <c r="K67" s="78"/>
      <c r="L67" s="78"/>
      <c r="M67" s="78"/>
      <c r="N67" s="78"/>
      <c r="O67" s="78"/>
      <c r="P67" s="78"/>
    </row>
    <row r="68" spans="1:16">
      <c r="A68" s="78"/>
      <c r="B68" s="121" t="s">
        <v>443</v>
      </c>
      <c r="C68" s="113"/>
      <c r="D68" s="114">
        <v>42692</v>
      </c>
      <c r="E68" s="78"/>
      <c r="F68" s="78"/>
      <c r="G68" s="78"/>
      <c r="H68" s="78"/>
      <c r="I68" s="78"/>
      <c r="J68" s="78"/>
      <c r="K68" s="78"/>
      <c r="L68" s="78"/>
      <c r="M68" s="78"/>
      <c r="N68" s="78"/>
      <c r="O68" s="78"/>
      <c r="P68" s="78"/>
    </row>
    <row r="69" spans="1:16" ht="21.75" customHeight="1">
      <c r="A69" s="78"/>
      <c r="B69" s="152" t="s">
        <v>473</v>
      </c>
      <c r="C69" s="152"/>
      <c r="D69" s="152"/>
      <c r="E69" s="152"/>
      <c r="F69" s="152"/>
      <c r="G69" s="152"/>
      <c r="H69" s="152"/>
      <c r="I69" s="152"/>
      <c r="J69" s="152"/>
      <c r="K69" s="152"/>
      <c r="L69" s="152"/>
      <c r="M69" s="78"/>
      <c r="N69" s="78"/>
      <c r="O69" s="78"/>
      <c r="P69" s="78"/>
    </row>
    <row r="70" spans="1:16">
      <c r="A70" s="78"/>
      <c r="B70" s="152" t="s">
        <v>474</v>
      </c>
      <c r="C70" s="152"/>
      <c r="D70" s="152"/>
      <c r="E70" s="152"/>
      <c r="F70" s="152"/>
      <c r="G70" s="152"/>
      <c r="H70" s="152"/>
      <c r="I70" s="152"/>
      <c r="J70" s="152"/>
      <c r="K70" s="152"/>
      <c r="L70" s="152"/>
      <c r="M70" s="78"/>
      <c r="N70" s="78"/>
      <c r="O70" s="78"/>
      <c r="P70" s="78"/>
    </row>
    <row r="71" spans="1:16">
      <c r="A71" s="78"/>
      <c r="B71" s="37" t="s">
        <v>435</v>
      </c>
      <c r="C71" s="38"/>
      <c r="D71" s="38"/>
      <c r="E71" s="38"/>
      <c r="F71" s="38"/>
      <c r="G71" s="38"/>
      <c r="H71" s="38"/>
      <c r="I71" s="38"/>
      <c r="J71" s="38"/>
      <c r="K71" s="38"/>
      <c r="L71" s="38"/>
      <c r="M71" s="78"/>
      <c r="N71" s="78"/>
      <c r="O71" s="78"/>
      <c r="P71" s="78"/>
    </row>
    <row r="72" spans="1:16">
      <c r="A72" s="78"/>
      <c r="B72" s="78"/>
      <c r="C72" s="78"/>
      <c r="D72" s="78"/>
      <c r="E72" s="78"/>
      <c r="F72" s="78"/>
      <c r="G72" s="78"/>
      <c r="H72" s="78"/>
      <c r="I72" s="78"/>
      <c r="J72" s="78"/>
      <c r="K72" s="78"/>
      <c r="L72" s="78"/>
      <c r="M72" s="78"/>
      <c r="N72" s="78"/>
      <c r="O72" s="78"/>
      <c r="P72" s="78"/>
    </row>
    <row r="73" spans="1:16">
      <c r="A73" s="78"/>
      <c r="B73" s="121" t="s">
        <v>443</v>
      </c>
      <c r="C73" s="113"/>
      <c r="D73" s="114">
        <v>42793</v>
      </c>
      <c r="E73" s="78"/>
      <c r="F73" s="78"/>
      <c r="G73" s="78"/>
      <c r="H73" s="78"/>
      <c r="I73" s="78"/>
      <c r="J73" s="78"/>
      <c r="K73" s="78"/>
      <c r="L73" s="78"/>
      <c r="M73" s="78"/>
      <c r="N73" s="78"/>
      <c r="O73" s="78"/>
      <c r="P73" s="78"/>
    </row>
    <row r="74" spans="1:16" ht="14.1" customHeight="1">
      <c r="A74" s="78"/>
      <c r="B74" s="149" t="s">
        <v>475</v>
      </c>
      <c r="C74" s="149"/>
      <c r="D74" s="149"/>
      <c r="E74" s="149"/>
      <c r="F74" s="149"/>
      <c r="G74" s="149"/>
      <c r="H74" s="149"/>
      <c r="I74" s="149"/>
      <c r="J74" s="149"/>
      <c r="K74" s="149"/>
      <c r="L74" s="149"/>
      <c r="M74" s="78"/>
      <c r="N74" s="78"/>
      <c r="O74" s="78"/>
      <c r="P74" s="78"/>
    </row>
    <row r="75" spans="1:16">
      <c r="A75" s="78"/>
      <c r="B75" s="78"/>
      <c r="C75" s="78"/>
      <c r="D75" s="78"/>
      <c r="E75" s="78"/>
      <c r="F75" s="78"/>
      <c r="G75" s="78"/>
      <c r="H75" s="78"/>
      <c r="I75" s="78"/>
      <c r="J75" s="78"/>
      <c r="K75" s="78"/>
      <c r="L75" s="78"/>
      <c r="M75" s="78"/>
      <c r="N75" s="78"/>
      <c r="O75" s="78"/>
      <c r="P75" s="78"/>
    </row>
    <row r="76" spans="1:16">
      <c r="A76" s="78"/>
      <c r="B76" s="121" t="s">
        <v>443</v>
      </c>
      <c r="C76" s="113"/>
      <c r="D76" s="114">
        <v>42891</v>
      </c>
      <c r="E76" s="78"/>
      <c r="F76" s="78"/>
      <c r="G76" s="78"/>
      <c r="H76" s="78"/>
      <c r="I76" s="78"/>
      <c r="J76" s="78"/>
      <c r="K76" s="78"/>
      <c r="L76" s="78"/>
      <c r="M76" s="78"/>
      <c r="N76" s="78"/>
      <c r="O76" s="78"/>
      <c r="P76" s="78"/>
    </row>
    <row r="77" spans="1:16" ht="39.6" customHeight="1">
      <c r="A77" s="78"/>
      <c r="B77" s="149" t="s">
        <v>476</v>
      </c>
      <c r="C77" s="149"/>
      <c r="D77" s="149"/>
      <c r="E77" s="149"/>
      <c r="F77" s="149"/>
      <c r="G77" s="149"/>
      <c r="H77" s="149"/>
      <c r="I77" s="149"/>
      <c r="J77" s="149"/>
      <c r="K77" s="149"/>
      <c r="L77" s="149"/>
      <c r="M77" s="78"/>
      <c r="N77" s="78"/>
      <c r="O77" s="78"/>
      <c r="P77" s="78"/>
    </row>
    <row r="78" spans="1:16" ht="35.450000000000003" customHeight="1">
      <c r="A78" s="78"/>
      <c r="B78" s="152" t="s">
        <v>477</v>
      </c>
      <c r="C78" s="152"/>
      <c r="D78" s="152"/>
      <c r="E78" s="152"/>
      <c r="F78" s="152"/>
      <c r="G78" s="152"/>
      <c r="H78" s="152"/>
      <c r="I78" s="152"/>
      <c r="J78" s="152"/>
      <c r="K78" s="152"/>
      <c r="L78" s="152"/>
      <c r="M78" s="78"/>
      <c r="N78" s="78"/>
      <c r="O78" s="78"/>
      <c r="P78" s="78"/>
    </row>
    <row r="79" spans="1:16" ht="31.15" customHeight="1">
      <c r="A79" s="78"/>
      <c r="B79" s="149" t="s">
        <v>478</v>
      </c>
      <c r="C79" s="149"/>
      <c r="D79" s="149"/>
      <c r="E79" s="149"/>
      <c r="F79" s="149"/>
      <c r="G79" s="149"/>
      <c r="H79" s="149"/>
      <c r="I79" s="149"/>
      <c r="J79" s="149"/>
      <c r="K79" s="149"/>
      <c r="L79" s="149"/>
      <c r="M79" s="78"/>
      <c r="N79" s="78"/>
      <c r="O79" s="78"/>
      <c r="P79" s="78"/>
    </row>
    <row r="80" spans="1:16" ht="33.6" customHeight="1">
      <c r="A80" s="78"/>
      <c r="B80" s="149" t="s">
        <v>479</v>
      </c>
      <c r="C80" s="149"/>
      <c r="D80" s="149"/>
      <c r="E80" s="149"/>
      <c r="F80" s="149"/>
      <c r="G80" s="149"/>
      <c r="H80" s="149"/>
      <c r="I80" s="149"/>
      <c r="J80" s="149"/>
      <c r="K80" s="149"/>
      <c r="L80" s="149"/>
      <c r="M80" s="78"/>
      <c r="N80" s="78"/>
      <c r="O80" s="78"/>
      <c r="P80" s="78"/>
    </row>
    <row r="81" spans="1:16" ht="36.6" customHeight="1">
      <c r="A81" s="78"/>
      <c r="B81" s="149" t="s">
        <v>480</v>
      </c>
      <c r="C81" s="149"/>
      <c r="D81" s="149"/>
      <c r="E81" s="149"/>
      <c r="F81" s="149"/>
      <c r="G81" s="149"/>
      <c r="H81" s="149"/>
      <c r="I81" s="149"/>
      <c r="J81" s="149"/>
      <c r="K81" s="149"/>
      <c r="L81" s="149"/>
      <c r="M81" s="78"/>
      <c r="N81" s="78"/>
      <c r="O81" s="78"/>
      <c r="P81" s="78"/>
    </row>
    <row r="82" spans="1:16" ht="32.450000000000003" customHeight="1">
      <c r="A82" s="78"/>
      <c r="B82" s="149" t="s">
        <v>481</v>
      </c>
      <c r="C82" s="149"/>
      <c r="D82" s="149"/>
      <c r="E82" s="149"/>
      <c r="F82" s="149"/>
      <c r="G82" s="149"/>
      <c r="H82" s="149"/>
      <c r="I82" s="149"/>
      <c r="J82" s="149"/>
      <c r="K82" s="149"/>
      <c r="L82" s="149"/>
      <c r="M82" s="78"/>
      <c r="N82" s="78"/>
      <c r="O82" s="78"/>
      <c r="P82" s="78"/>
    </row>
    <row r="83" spans="1:16" ht="33" customHeight="1">
      <c r="A83" s="78"/>
      <c r="B83" s="149" t="s">
        <v>482</v>
      </c>
      <c r="C83" s="149"/>
      <c r="D83" s="149"/>
      <c r="E83" s="149"/>
      <c r="F83" s="149"/>
      <c r="G83" s="149"/>
      <c r="H83" s="149"/>
      <c r="I83" s="149"/>
      <c r="J83" s="149"/>
      <c r="K83" s="149"/>
      <c r="L83" s="149"/>
      <c r="M83" s="78"/>
      <c r="N83" s="78"/>
      <c r="O83" s="78"/>
      <c r="P83" s="78"/>
    </row>
    <row r="84" spans="1:16" ht="33" customHeight="1">
      <c r="A84" s="78"/>
      <c r="B84" s="152" t="s">
        <v>483</v>
      </c>
      <c r="C84" s="152"/>
      <c r="D84" s="152"/>
      <c r="E84" s="152"/>
      <c r="F84" s="152"/>
      <c r="G84" s="152"/>
      <c r="H84" s="152"/>
      <c r="I84" s="152"/>
      <c r="J84" s="152"/>
      <c r="K84" s="152"/>
      <c r="L84" s="152"/>
      <c r="M84" s="78"/>
      <c r="N84" s="78"/>
      <c r="O84" s="78"/>
      <c r="P84" s="78"/>
    </row>
    <row r="85" spans="1:16" ht="40.15" customHeight="1">
      <c r="A85" s="78"/>
      <c r="B85" s="149" t="s">
        <v>484</v>
      </c>
      <c r="C85" s="149"/>
      <c r="D85" s="149"/>
      <c r="E85" s="149"/>
      <c r="F85" s="149"/>
      <c r="G85" s="149"/>
      <c r="H85" s="149"/>
      <c r="I85" s="149"/>
      <c r="J85" s="149"/>
      <c r="K85" s="149"/>
      <c r="L85" s="149"/>
      <c r="M85" s="78"/>
      <c r="N85" s="78"/>
      <c r="O85" s="78"/>
      <c r="P85" s="78"/>
    </row>
    <row r="86" spans="1:16">
      <c r="A86" s="78"/>
      <c r="B86" s="78"/>
      <c r="C86" s="78"/>
      <c r="D86" s="78"/>
      <c r="E86" s="78"/>
      <c r="F86" s="78"/>
      <c r="G86" s="78"/>
      <c r="H86" s="78"/>
      <c r="I86" s="78"/>
      <c r="J86" s="78"/>
      <c r="K86" s="78"/>
      <c r="L86" s="78"/>
      <c r="M86" s="78"/>
      <c r="N86" s="78"/>
      <c r="O86" s="78"/>
      <c r="P86" s="78"/>
    </row>
    <row r="87" spans="1:16">
      <c r="A87" s="78"/>
      <c r="B87" s="121" t="s">
        <v>443</v>
      </c>
      <c r="C87" s="113"/>
      <c r="D87" s="114">
        <v>43091</v>
      </c>
      <c r="E87" s="78"/>
      <c r="F87" s="78"/>
      <c r="G87" s="78"/>
      <c r="H87" s="78"/>
      <c r="I87" s="78"/>
      <c r="J87" s="78"/>
      <c r="K87" s="78"/>
      <c r="L87" s="78"/>
      <c r="M87" s="78"/>
      <c r="N87" s="78"/>
      <c r="O87" s="78"/>
      <c r="P87" s="78"/>
    </row>
    <row r="88" spans="1:16">
      <c r="A88" s="78"/>
      <c r="B88" s="78" t="s">
        <v>691</v>
      </c>
      <c r="C88" s="35"/>
      <c r="D88" s="35"/>
      <c r="E88" s="35"/>
      <c r="F88" s="35"/>
      <c r="G88" s="35"/>
      <c r="H88" s="35"/>
      <c r="I88" s="35"/>
      <c r="J88" s="35"/>
      <c r="K88" s="35"/>
      <c r="L88" s="35"/>
      <c r="M88" s="78"/>
      <c r="N88" s="78"/>
      <c r="O88" s="78"/>
      <c r="P88" s="78"/>
    </row>
    <row r="89" spans="1:16">
      <c r="A89" s="78"/>
      <c r="B89" s="78" t="s">
        <v>485</v>
      </c>
      <c r="C89" s="35"/>
      <c r="D89" s="35"/>
      <c r="E89" s="35"/>
      <c r="F89" s="35"/>
      <c r="G89" s="35"/>
      <c r="H89" s="35"/>
      <c r="I89" s="35"/>
      <c r="J89" s="35"/>
      <c r="K89" s="78"/>
      <c r="L89" s="78"/>
      <c r="M89" s="78"/>
      <c r="N89" s="78"/>
      <c r="O89" s="78"/>
      <c r="P89" s="78"/>
    </row>
    <row r="90" spans="1:16">
      <c r="A90" s="78"/>
      <c r="B90" s="78" t="s">
        <v>486</v>
      </c>
      <c r="C90" s="35"/>
      <c r="D90" s="35"/>
      <c r="E90" s="35"/>
      <c r="F90" s="35"/>
      <c r="G90" s="35"/>
      <c r="H90" s="35"/>
      <c r="I90" s="35"/>
      <c r="J90" s="35"/>
      <c r="K90" s="78"/>
      <c r="L90" s="78"/>
      <c r="M90" s="78"/>
      <c r="N90" s="78"/>
      <c r="O90" s="78"/>
      <c r="P90" s="78"/>
    </row>
    <row r="91" spans="1:16">
      <c r="A91" s="78"/>
      <c r="B91" s="78" t="s">
        <v>487</v>
      </c>
      <c r="C91" s="35"/>
      <c r="D91" s="35"/>
      <c r="E91" s="35"/>
      <c r="F91" s="35"/>
      <c r="G91" s="35"/>
      <c r="H91" s="35"/>
      <c r="I91" s="35"/>
      <c r="J91" s="35"/>
      <c r="K91" s="78"/>
      <c r="L91" s="78"/>
      <c r="M91" s="78"/>
      <c r="N91" s="78"/>
      <c r="O91" s="78"/>
      <c r="P91" s="78"/>
    </row>
    <row r="92" spans="1:16">
      <c r="A92" s="78"/>
      <c r="B92" s="78" t="s">
        <v>488</v>
      </c>
      <c r="C92" s="35"/>
      <c r="D92" s="35"/>
      <c r="E92" s="35"/>
      <c r="F92" s="35"/>
      <c r="G92" s="35"/>
      <c r="H92" s="35"/>
      <c r="I92" s="35"/>
      <c r="J92" s="35"/>
      <c r="K92" s="78"/>
      <c r="L92" s="78"/>
      <c r="M92" s="78"/>
      <c r="N92" s="78"/>
      <c r="O92" s="78"/>
      <c r="P92" s="78"/>
    </row>
    <row r="93" spans="1:16">
      <c r="A93" s="78"/>
      <c r="B93" s="78" t="s">
        <v>489</v>
      </c>
      <c r="C93" s="35"/>
      <c r="D93" s="35"/>
      <c r="E93" s="35"/>
      <c r="F93" s="35"/>
      <c r="G93" s="35"/>
      <c r="H93" s="35"/>
      <c r="I93" s="35"/>
      <c r="J93" s="35"/>
      <c r="K93" s="78"/>
      <c r="L93" s="78"/>
      <c r="M93" s="78"/>
      <c r="N93" s="78"/>
      <c r="O93" s="78"/>
      <c r="P93" s="78"/>
    </row>
    <row r="94" spans="1:16">
      <c r="A94" s="78"/>
      <c r="B94" s="78" t="s">
        <v>490</v>
      </c>
      <c r="C94" s="35"/>
      <c r="D94" s="35"/>
      <c r="E94" s="35"/>
      <c r="F94" s="35"/>
      <c r="G94" s="35"/>
      <c r="H94" s="35"/>
      <c r="I94" s="35"/>
      <c r="J94" s="35"/>
      <c r="K94" s="78"/>
      <c r="L94" s="78"/>
      <c r="M94" s="78"/>
      <c r="N94" s="78"/>
      <c r="O94" s="78"/>
      <c r="P94" s="78"/>
    </row>
    <row r="95" spans="1:16">
      <c r="A95" s="78"/>
      <c r="B95" s="78" t="s">
        <v>491</v>
      </c>
      <c r="C95" s="35"/>
      <c r="D95" s="35"/>
      <c r="E95" s="35"/>
      <c r="F95" s="35"/>
      <c r="G95" s="35"/>
      <c r="H95" s="35"/>
      <c r="I95" s="35"/>
      <c r="J95" s="35"/>
      <c r="K95" s="78"/>
      <c r="L95" s="78"/>
      <c r="M95" s="78"/>
      <c r="N95" s="78"/>
      <c r="O95" s="78"/>
      <c r="P95" s="78"/>
    </row>
    <row r="96" spans="1:16">
      <c r="A96" s="78"/>
      <c r="B96" s="78" t="s">
        <v>492</v>
      </c>
      <c r="C96" s="35"/>
      <c r="D96" s="35"/>
      <c r="E96" s="35"/>
      <c r="F96" s="35"/>
      <c r="G96" s="35"/>
      <c r="H96" s="35"/>
      <c r="I96" s="35"/>
      <c r="J96" s="35"/>
      <c r="K96" s="78"/>
      <c r="L96" s="78"/>
      <c r="M96" s="78"/>
      <c r="N96" s="78"/>
      <c r="O96" s="78"/>
      <c r="P96" s="78"/>
    </row>
    <row r="97" spans="1:16">
      <c r="A97" s="78"/>
      <c r="B97" s="78" t="s">
        <v>493</v>
      </c>
      <c r="C97" s="35"/>
      <c r="D97" s="35"/>
      <c r="E97" s="35"/>
      <c r="F97" s="35"/>
      <c r="G97" s="35"/>
      <c r="H97" s="35"/>
      <c r="I97" s="35"/>
      <c r="J97" s="35"/>
      <c r="K97" s="35"/>
      <c r="L97" s="35"/>
      <c r="M97" s="78"/>
      <c r="N97" s="78"/>
      <c r="O97" s="78"/>
      <c r="P97" s="78"/>
    </row>
    <row r="98" spans="1:16">
      <c r="A98" s="78"/>
      <c r="B98" s="78" t="s">
        <v>494</v>
      </c>
      <c r="C98" s="35"/>
      <c r="D98" s="35"/>
      <c r="E98" s="35"/>
      <c r="F98" s="35"/>
      <c r="G98" s="35"/>
      <c r="H98" s="35"/>
      <c r="I98" s="35"/>
      <c r="J98" s="35"/>
      <c r="K98" s="78"/>
      <c r="L98" s="78"/>
      <c r="M98" s="78"/>
      <c r="N98" s="78"/>
      <c r="O98" s="78"/>
      <c r="P98" s="78"/>
    </row>
    <row r="99" spans="1:16">
      <c r="A99" s="78"/>
      <c r="B99" s="78" t="s">
        <v>495</v>
      </c>
      <c r="C99" s="35"/>
      <c r="D99" s="35"/>
      <c r="E99" s="35"/>
      <c r="F99" s="35"/>
      <c r="G99" s="35"/>
      <c r="H99" s="35"/>
      <c r="I99" s="35"/>
      <c r="J99" s="35"/>
      <c r="K99" s="78"/>
      <c r="L99" s="78"/>
      <c r="M99" s="78"/>
      <c r="N99" s="78"/>
      <c r="O99" s="78"/>
      <c r="P99" s="78"/>
    </row>
    <row r="100" spans="1:16">
      <c r="A100" s="78"/>
      <c r="B100" s="78" t="s">
        <v>496</v>
      </c>
      <c r="C100" s="35"/>
      <c r="D100" s="35"/>
      <c r="E100" s="35"/>
      <c r="F100" s="35"/>
      <c r="G100" s="35"/>
      <c r="H100" s="35"/>
      <c r="I100" s="35"/>
      <c r="J100" s="35"/>
      <c r="K100" s="78"/>
      <c r="L100" s="78"/>
      <c r="M100" s="78"/>
      <c r="N100" s="78"/>
      <c r="O100" s="78"/>
      <c r="P100" s="78"/>
    </row>
    <row r="101" spans="1:16">
      <c r="A101" s="78"/>
      <c r="B101" s="78" t="s">
        <v>497</v>
      </c>
      <c r="C101" s="42"/>
      <c r="D101" s="42"/>
      <c r="E101" s="42"/>
      <c r="F101" s="42"/>
      <c r="G101" s="42"/>
      <c r="H101" s="42"/>
      <c r="I101" s="42"/>
      <c r="J101" s="42"/>
      <c r="K101" s="42"/>
      <c r="L101" s="42"/>
      <c r="M101" s="78"/>
      <c r="N101" s="78"/>
      <c r="O101" s="78"/>
      <c r="P101" s="78"/>
    </row>
    <row r="102" spans="1:16">
      <c r="A102" s="78"/>
      <c r="B102" s="78" t="s">
        <v>498</v>
      </c>
      <c r="C102" s="35"/>
      <c r="D102" s="35"/>
      <c r="E102" s="35"/>
      <c r="F102" s="35"/>
      <c r="G102" s="35"/>
      <c r="H102" s="35"/>
      <c r="I102" s="35"/>
      <c r="J102" s="35"/>
      <c r="K102" s="78"/>
      <c r="L102" s="78"/>
      <c r="M102" s="78"/>
      <c r="N102" s="78"/>
      <c r="O102" s="78"/>
      <c r="P102" s="78"/>
    </row>
    <row r="103" spans="1:16">
      <c r="A103" s="78"/>
      <c r="B103" s="78" t="s">
        <v>499</v>
      </c>
      <c r="C103" s="78"/>
      <c r="D103" s="78"/>
      <c r="E103" s="78"/>
      <c r="F103" s="78"/>
      <c r="G103" s="78"/>
      <c r="H103" s="78"/>
      <c r="I103" s="78"/>
      <c r="J103" s="78"/>
      <c r="K103" s="78"/>
      <c r="L103" s="78"/>
      <c r="M103" s="78"/>
      <c r="N103" s="78"/>
      <c r="O103" s="78"/>
      <c r="P103" s="78"/>
    </row>
    <row r="104" spans="1:16">
      <c r="A104" s="78"/>
      <c r="B104" s="78" t="s">
        <v>500</v>
      </c>
      <c r="C104" s="78"/>
      <c r="D104" s="78"/>
      <c r="E104" s="78"/>
      <c r="F104" s="78"/>
      <c r="G104" s="78"/>
      <c r="H104" s="78"/>
      <c r="I104" s="78"/>
      <c r="J104" s="78"/>
      <c r="K104" s="78"/>
      <c r="L104" s="78"/>
      <c r="M104" s="78"/>
      <c r="N104" s="78"/>
      <c r="O104" s="78"/>
      <c r="P104" s="78"/>
    </row>
    <row r="105" spans="1:16">
      <c r="A105" s="78"/>
      <c r="B105" s="78" t="s">
        <v>501</v>
      </c>
      <c r="C105" s="78"/>
      <c r="D105" s="78"/>
      <c r="E105" s="78"/>
      <c r="F105" s="78"/>
      <c r="G105" s="78"/>
      <c r="H105" s="78"/>
      <c r="I105" s="78"/>
      <c r="J105" s="78"/>
      <c r="K105" s="78"/>
      <c r="L105" s="78"/>
      <c r="M105" s="78"/>
      <c r="N105" s="78"/>
      <c r="O105" s="78"/>
      <c r="P105" s="78"/>
    </row>
    <row r="106" spans="1:16">
      <c r="A106" s="78"/>
      <c r="B106" s="78" t="s">
        <v>502</v>
      </c>
      <c r="C106" s="78"/>
      <c r="D106" s="78"/>
      <c r="E106" s="78"/>
      <c r="F106" s="78"/>
      <c r="G106" s="78"/>
      <c r="H106" s="78"/>
      <c r="I106" s="78"/>
      <c r="J106" s="78"/>
      <c r="K106" s="78"/>
      <c r="L106" s="78"/>
      <c r="M106" s="78"/>
      <c r="N106" s="78"/>
      <c r="O106" s="78"/>
      <c r="P106" s="78"/>
    </row>
    <row r="107" spans="1:16">
      <c r="A107" s="78"/>
      <c r="B107" s="78" t="s">
        <v>503</v>
      </c>
      <c r="C107" s="78"/>
      <c r="D107" s="78"/>
      <c r="E107" s="78"/>
      <c r="F107" s="78"/>
      <c r="G107" s="78"/>
      <c r="H107" s="78"/>
      <c r="I107" s="78"/>
      <c r="J107" s="78"/>
      <c r="K107" s="78"/>
      <c r="L107" s="78"/>
      <c r="M107" s="78"/>
      <c r="N107" s="78"/>
      <c r="O107" s="78"/>
      <c r="P107" s="78"/>
    </row>
    <row r="108" spans="1:16">
      <c r="A108" s="78"/>
      <c r="B108" s="78" t="s">
        <v>504</v>
      </c>
      <c r="C108" s="78"/>
      <c r="D108" s="78"/>
      <c r="E108" s="78"/>
      <c r="F108" s="78"/>
      <c r="G108" s="78"/>
      <c r="H108" s="78"/>
      <c r="I108" s="78"/>
      <c r="J108" s="78"/>
      <c r="K108" s="78"/>
      <c r="L108" s="78"/>
      <c r="M108" s="78"/>
      <c r="N108" s="78"/>
      <c r="O108" s="78"/>
      <c r="P108" s="78"/>
    </row>
    <row r="109" spans="1:16">
      <c r="A109" s="78"/>
      <c r="B109" s="78" t="s">
        <v>505</v>
      </c>
      <c r="C109" s="78"/>
      <c r="D109" s="78"/>
      <c r="E109" s="78"/>
      <c r="F109" s="78"/>
      <c r="G109" s="78"/>
      <c r="H109" s="78"/>
      <c r="I109" s="78"/>
      <c r="J109" s="78"/>
      <c r="K109" s="78"/>
      <c r="L109" s="78"/>
      <c r="M109" s="78"/>
      <c r="N109" s="78"/>
      <c r="O109" s="78"/>
      <c r="P109" s="78"/>
    </row>
    <row r="110" spans="1:16">
      <c r="A110" s="78"/>
      <c r="B110" s="78" t="s">
        <v>506</v>
      </c>
      <c r="C110" s="78"/>
      <c r="D110" s="78"/>
      <c r="E110" s="78"/>
      <c r="F110" s="78"/>
      <c r="G110" s="78"/>
      <c r="H110" s="78"/>
      <c r="I110" s="78"/>
      <c r="J110" s="78"/>
      <c r="K110" s="78"/>
      <c r="L110" s="78"/>
      <c r="M110" s="78"/>
      <c r="N110" s="78"/>
      <c r="O110" s="78"/>
      <c r="P110" s="78"/>
    </row>
    <row r="111" spans="1:16">
      <c r="A111" s="78"/>
      <c r="B111" s="78" t="s">
        <v>507</v>
      </c>
      <c r="C111" s="78"/>
      <c r="D111" s="78"/>
      <c r="E111" s="78"/>
      <c r="F111" s="78"/>
      <c r="G111" s="78"/>
      <c r="H111" s="78"/>
      <c r="I111" s="78"/>
      <c r="J111" s="78"/>
      <c r="K111" s="78"/>
      <c r="L111" s="78"/>
      <c r="M111" s="78"/>
      <c r="N111" s="78"/>
      <c r="O111" s="78"/>
      <c r="P111" s="78"/>
    </row>
    <row r="112" spans="1:16">
      <c r="A112" s="78"/>
      <c r="B112" s="78"/>
      <c r="C112" s="78"/>
      <c r="D112" s="78"/>
      <c r="E112" s="78"/>
      <c r="F112" s="78"/>
      <c r="G112" s="78"/>
      <c r="H112" s="78"/>
      <c r="I112" s="78"/>
      <c r="J112" s="78"/>
      <c r="K112" s="78"/>
      <c r="L112" s="78"/>
      <c r="M112" s="78"/>
      <c r="N112" s="78"/>
      <c r="O112" s="78"/>
      <c r="P112" s="78"/>
    </row>
    <row r="113" spans="1:16" s="78" customFormat="1">
      <c r="B113" s="121" t="s">
        <v>443</v>
      </c>
      <c r="C113" s="113"/>
      <c r="D113" s="114">
        <v>43175</v>
      </c>
    </row>
    <row r="114" spans="1:16" s="78" customFormat="1">
      <c r="B114" s="153" t="s">
        <v>682</v>
      </c>
      <c r="C114" s="153"/>
      <c r="D114" s="153"/>
      <c r="E114" s="153"/>
      <c r="F114" s="153"/>
      <c r="G114" s="153"/>
      <c r="H114" s="153"/>
      <c r="I114" s="153"/>
      <c r="J114" s="153"/>
      <c r="K114" s="153"/>
      <c r="L114" s="153"/>
      <c r="M114" s="153"/>
      <c r="N114" s="153"/>
      <c r="O114" s="153"/>
      <c r="P114" s="153"/>
    </row>
    <row r="115" spans="1:16" s="78" customFormat="1"/>
    <row r="116" spans="1:16" ht="12.75" customHeight="1">
      <c r="A116" s="78"/>
      <c r="B116" s="121" t="s">
        <v>443</v>
      </c>
      <c r="C116" s="113"/>
      <c r="D116" s="114">
        <v>43312</v>
      </c>
      <c r="E116" s="78"/>
      <c r="F116" s="78"/>
      <c r="G116" s="78"/>
      <c r="H116" s="78"/>
      <c r="I116" s="78"/>
      <c r="J116" s="78"/>
      <c r="K116" s="78"/>
      <c r="L116" s="78"/>
      <c r="M116" s="78"/>
      <c r="N116" s="78"/>
      <c r="O116" s="78"/>
      <c r="P116" s="78"/>
    </row>
    <row r="117" spans="1:16">
      <c r="A117" s="78"/>
      <c r="B117" s="153" t="s">
        <v>681</v>
      </c>
      <c r="C117" s="153"/>
      <c r="D117" s="153"/>
      <c r="E117" s="153"/>
      <c r="F117" s="153"/>
      <c r="G117" s="153"/>
      <c r="H117" s="153"/>
      <c r="I117" s="153"/>
      <c r="J117" s="153"/>
      <c r="K117" s="153"/>
      <c r="L117" s="153"/>
      <c r="M117" s="153"/>
      <c r="N117" s="153"/>
      <c r="O117" s="153"/>
      <c r="P117" s="153"/>
    </row>
    <row r="118" spans="1:16" ht="15.6" customHeight="1">
      <c r="A118" s="78"/>
      <c r="B118" s="153" t="s">
        <v>535</v>
      </c>
      <c r="C118" s="153"/>
      <c r="D118" s="153"/>
      <c r="E118" s="153"/>
      <c r="F118" s="153"/>
      <c r="G118" s="153"/>
      <c r="H118" s="153"/>
      <c r="I118" s="153"/>
      <c r="J118" s="153"/>
      <c r="K118" s="153"/>
      <c r="L118" s="153"/>
      <c r="M118" s="153"/>
      <c r="N118" s="153"/>
      <c r="O118" s="153"/>
      <c r="P118" s="153"/>
    </row>
    <row r="119" spans="1:16" ht="15.6" customHeight="1">
      <c r="A119" s="78"/>
      <c r="B119" s="153" t="s">
        <v>622</v>
      </c>
      <c r="C119" s="153"/>
      <c r="D119" s="153"/>
      <c r="E119" s="153"/>
      <c r="F119" s="153"/>
      <c r="G119" s="153"/>
      <c r="H119" s="153"/>
      <c r="I119" s="153"/>
      <c r="J119" s="153"/>
      <c r="K119" s="153"/>
      <c r="L119" s="153"/>
      <c r="M119" s="153"/>
      <c r="N119" s="153"/>
      <c r="O119" s="153"/>
      <c r="P119" s="153"/>
    </row>
    <row r="120" spans="1:16" ht="15.6" customHeight="1">
      <c r="A120" s="78"/>
      <c r="B120" s="153" t="s">
        <v>536</v>
      </c>
      <c r="C120" s="153"/>
      <c r="D120" s="153"/>
      <c r="E120" s="153"/>
      <c r="F120" s="153"/>
      <c r="G120" s="153"/>
      <c r="H120" s="153"/>
      <c r="I120" s="153"/>
      <c r="J120" s="153"/>
      <c r="K120" s="153"/>
      <c r="L120" s="153"/>
      <c r="M120" s="153"/>
      <c r="N120" s="153"/>
      <c r="O120" s="153"/>
      <c r="P120" s="153"/>
    </row>
    <row r="121" spans="1:16" ht="15.6" customHeight="1">
      <c r="A121" s="78"/>
      <c r="B121" s="153" t="s">
        <v>537</v>
      </c>
      <c r="C121" s="153"/>
      <c r="D121" s="153"/>
      <c r="E121" s="153"/>
      <c r="F121" s="153"/>
      <c r="G121" s="153"/>
      <c r="H121" s="153"/>
      <c r="I121" s="153"/>
      <c r="J121" s="153"/>
      <c r="K121" s="153"/>
      <c r="L121" s="153"/>
      <c r="M121" s="153"/>
      <c r="N121" s="153"/>
      <c r="O121" s="153"/>
      <c r="P121" s="153"/>
    </row>
    <row r="122" spans="1:16" ht="15.6" customHeight="1">
      <c r="A122" s="78"/>
      <c r="B122" s="153" t="s">
        <v>676</v>
      </c>
      <c r="C122" s="153"/>
      <c r="D122" s="153"/>
      <c r="E122" s="153"/>
      <c r="F122" s="153"/>
      <c r="G122" s="153"/>
      <c r="H122" s="153"/>
      <c r="I122" s="153"/>
      <c r="J122" s="153"/>
      <c r="K122" s="153"/>
      <c r="L122" s="153"/>
      <c r="M122" s="153"/>
      <c r="N122" s="153"/>
      <c r="O122" s="153"/>
      <c r="P122" s="153"/>
    </row>
    <row r="123" spans="1:16" ht="15.6" customHeight="1">
      <c r="A123" s="78"/>
      <c r="B123" s="153" t="s">
        <v>538</v>
      </c>
      <c r="C123" s="153"/>
      <c r="D123" s="153"/>
      <c r="E123" s="153"/>
      <c r="F123" s="153"/>
      <c r="G123" s="153"/>
      <c r="H123" s="153"/>
      <c r="I123" s="153"/>
      <c r="J123" s="153"/>
      <c r="K123" s="153"/>
      <c r="L123" s="153"/>
      <c r="M123" s="153"/>
      <c r="N123" s="153"/>
      <c r="O123" s="153"/>
      <c r="P123" s="153"/>
    </row>
    <row r="124" spans="1:16" s="78" customFormat="1" ht="15.6" customHeight="1">
      <c r="B124" s="128"/>
      <c r="C124" s="128"/>
      <c r="D124" s="128"/>
      <c r="E124" s="128"/>
      <c r="F124" s="128"/>
      <c r="G124" s="128"/>
      <c r="H124" s="128"/>
      <c r="I124" s="128"/>
      <c r="J124" s="128"/>
      <c r="K124" s="128"/>
      <c r="L124" s="128"/>
      <c r="M124" s="128"/>
      <c r="N124" s="128"/>
      <c r="O124" s="128"/>
      <c r="P124" s="128"/>
    </row>
    <row r="125" spans="1:16" s="78" customFormat="1" ht="12.75" customHeight="1">
      <c r="B125" s="121" t="s">
        <v>443</v>
      </c>
      <c r="C125" s="113"/>
      <c r="D125" s="114">
        <v>43404</v>
      </c>
    </row>
    <row r="126" spans="1:16" s="78" customFormat="1">
      <c r="B126" s="153" t="s">
        <v>694</v>
      </c>
      <c r="C126" s="153"/>
      <c r="D126" s="153"/>
      <c r="E126" s="153"/>
      <c r="F126" s="153"/>
      <c r="G126" s="153"/>
      <c r="H126" s="153"/>
      <c r="I126" s="153"/>
      <c r="J126" s="153"/>
      <c r="K126" s="153"/>
      <c r="L126" s="153"/>
      <c r="M126" s="153"/>
      <c r="N126" s="153"/>
      <c r="O126" s="153"/>
      <c r="P126" s="153"/>
    </row>
    <row r="127" spans="1:16" s="78" customFormat="1">
      <c r="B127" s="119" t="s">
        <v>708</v>
      </c>
      <c r="C127" s="122"/>
      <c r="D127" s="122"/>
      <c r="E127" s="122"/>
      <c r="F127" s="122"/>
      <c r="G127" s="122"/>
      <c r="H127" s="122"/>
      <c r="I127" s="122"/>
      <c r="J127" s="122"/>
      <c r="K127" s="122"/>
      <c r="L127" s="122"/>
      <c r="M127" s="122"/>
      <c r="N127" s="122"/>
      <c r="O127" s="122"/>
      <c r="P127" s="122"/>
    </row>
    <row r="128" spans="1:16">
      <c r="A128" s="78"/>
      <c r="B128" s="119" t="s">
        <v>709</v>
      </c>
      <c r="C128" s="119"/>
      <c r="D128" s="119"/>
      <c r="E128" s="119"/>
      <c r="F128" s="119"/>
      <c r="G128" s="119"/>
      <c r="H128" s="119"/>
      <c r="I128" s="119"/>
      <c r="J128" s="119"/>
      <c r="K128" s="119"/>
      <c r="L128" s="119"/>
      <c r="M128" s="119"/>
      <c r="N128" s="119"/>
      <c r="O128" s="119"/>
      <c r="P128" s="119"/>
    </row>
    <row r="129" spans="1:16" s="78" customFormat="1">
      <c r="B129" s="126" t="s">
        <v>707</v>
      </c>
      <c r="C129" s="119"/>
      <c r="D129" s="119"/>
      <c r="E129" s="119"/>
      <c r="F129" s="119"/>
      <c r="G129" s="119"/>
      <c r="H129" s="119"/>
      <c r="I129" s="119"/>
      <c r="J129" s="119"/>
      <c r="K129" s="119"/>
      <c r="L129" s="119"/>
      <c r="M129" s="119"/>
      <c r="N129" s="119"/>
      <c r="O129" s="119"/>
      <c r="P129" s="119"/>
    </row>
    <row r="130" spans="1:16" s="78" customFormat="1">
      <c r="B130" s="119" t="s">
        <v>710</v>
      </c>
      <c r="C130" s="119"/>
      <c r="D130" s="119"/>
      <c r="E130" s="119"/>
      <c r="F130" s="119"/>
      <c r="G130" s="119"/>
      <c r="H130" s="119"/>
      <c r="I130" s="119"/>
      <c r="J130" s="119"/>
      <c r="K130" s="119"/>
      <c r="L130" s="119"/>
      <c r="M130" s="119"/>
      <c r="N130" s="119"/>
      <c r="O130" s="119"/>
      <c r="P130" s="119"/>
    </row>
    <row r="132" spans="1:16">
      <c r="B132" s="127" t="s">
        <v>443</v>
      </c>
      <c r="C132" s="113"/>
      <c r="D132" s="114">
        <v>43486</v>
      </c>
    </row>
    <row r="133" spans="1:16">
      <c r="B133" s="129" t="s">
        <v>757</v>
      </c>
      <c r="C133" s="119"/>
      <c r="D133" s="119"/>
    </row>
    <row r="134" spans="1:16">
      <c r="B134" s="118" t="s">
        <v>775</v>
      </c>
    </row>
    <row r="135" spans="1:16" s="78" customFormat="1">
      <c r="B135" s="118" t="s">
        <v>763</v>
      </c>
    </row>
    <row r="136" spans="1:16" s="78" customFormat="1">
      <c r="B136" s="118" t="s">
        <v>776</v>
      </c>
    </row>
    <row r="137" spans="1:16" s="78" customFormat="1">
      <c r="B137" s="118" t="s">
        <v>735</v>
      </c>
    </row>
    <row r="138" spans="1:16">
      <c r="B138" s="118" t="s">
        <v>785</v>
      </c>
    </row>
    <row r="139" spans="1:16" s="78" customFormat="1">
      <c r="B139" s="118"/>
    </row>
    <row r="140" spans="1:16" s="78" customFormat="1">
      <c r="B140" s="143" t="s">
        <v>791</v>
      </c>
    </row>
    <row r="141" spans="1:16" s="78" customFormat="1">
      <c r="B141" s="143" t="s">
        <v>792</v>
      </c>
    </row>
    <row r="142" spans="1:16" s="78" customFormat="1">
      <c r="B142" s="143"/>
    </row>
    <row r="143" spans="1:16">
      <c r="A143" s="78"/>
      <c r="B143" s="38" t="s">
        <v>693</v>
      </c>
      <c r="C143" s="78"/>
      <c r="D143" s="78"/>
      <c r="E143" s="78"/>
      <c r="F143" s="78"/>
      <c r="G143" s="78"/>
      <c r="H143" s="78"/>
      <c r="I143" s="78"/>
      <c r="J143" s="78"/>
      <c r="K143" s="78"/>
      <c r="L143" s="78"/>
      <c r="M143" s="78"/>
      <c r="N143" s="78"/>
      <c r="O143" s="78"/>
      <c r="P143" s="78"/>
    </row>
  </sheetData>
  <mergeCells count="55">
    <mergeCell ref="B117:P117"/>
    <mergeCell ref="B118:P118"/>
    <mergeCell ref="B119:P119"/>
    <mergeCell ref="B120:P120"/>
    <mergeCell ref="B69:L69"/>
    <mergeCell ref="B82:L82"/>
    <mergeCell ref="B83:L83"/>
    <mergeCell ref="B84:L84"/>
    <mergeCell ref="B85:L85"/>
    <mergeCell ref="B74:L74"/>
    <mergeCell ref="B77:L77"/>
    <mergeCell ref="B78:L78"/>
    <mergeCell ref="B79:L79"/>
    <mergeCell ref="B80:L80"/>
    <mergeCell ref="B81:L81"/>
    <mergeCell ref="B114:P114"/>
    <mergeCell ref="B28:K28"/>
    <mergeCell ref="B51:L51"/>
    <mergeCell ref="B30:K30"/>
    <mergeCell ref="B33:K33"/>
    <mergeCell ref="B34:K34"/>
    <mergeCell ref="B37:K37"/>
    <mergeCell ref="B40:K40"/>
    <mergeCell ref="B41:K41"/>
    <mergeCell ref="B44:K44"/>
    <mergeCell ref="B47:L47"/>
    <mergeCell ref="B48:L48"/>
    <mergeCell ref="B49:L49"/>
    <mergeCell ref="B50:K50"/>
    <mergeCell ref="B14:K14"/>
    <mergeCell ref="B15:K15"/>
    <mergeCell ref="B16:K16"/>
    <mergeCell ref="B19:K19"/>
    <mergeCell ref="B22:K22"/>
    <mergeCell ref="B5:K5"/>
    <mergeCell ref="B6:K6"/>
    <mergeCell ref="B7:K7"/>
    <mergeCell ref="B10:K10"/>
    <mergeCell ref="B11:K11"/>
    <mergeCell ref="B126:P126"/>
    <mergeCell ref="B121:P121"/>
    <mergeCell ref="B122:P122"/>
    <mergeCell ref="B123:P123"/>
    <mergeCell ref="B29:K29"/>
    <mergeCell ref="B70:L70"/>
    <mergeCell ref="B54:L54"/>
    <mergeCell ref="B55:L55"/>
    <mergeCell ref="B56:L56"/>
    <mergeCell ref="B57:K57"/>
    <mergeCell ref="B58:L58"/>
    <mergeCell ref="B59:L59"/>
    <mergeCell ref="B62:L62"/>
    <mergeCell ref="B63:L63"/>
    <mergeCell ref="B65:L65"/>
    <mergeCell ref="B66:L6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workbookViewId="0"/>
  </sheetViews>
  <sheetFormatPr defaultColWidth="9.140625" defaultRowHeight="15"/>
  <cols>
    <col min="1" max="1" width="28.5703125" style="25" bestFit="1" customWidth="1"/>
    <col min="2" max="2" width="78.140625" style="25" bestFit="1" customWidth="1"/>
    <col min="3" max="3" width="35" style="25" customWidth="1"/>
    <col min="4" max="4" width="21" style="25" bestFit="1" customWidth="1"/>
    <col min="5" max="5" width="16.5703125" style="25" bestFit="1" customWidth="1"/>
    <col min="6" max="6" width="41.5703125" style="25" bestFit="1" customWidth="1"/>
    <col min="7" max="7" width="12" style="25" bestFit="1" customWidth="1"/>
    <col min="8" max="8" width="17.5703125" style="25" bestFit="1" customWidth="1"/>
    <col min="9" max="9" width="11.140625" style="78" bestFit="1" customWidth="1"/>
    <col min="10" max="10" width="6.42578125" style="25" hidden="1" customWidth="1"/>
    <col min="11" max="11" width="26.85546875" style="25" hidden="1" customWidth="1"/>
    <col min="12" max="12" width="15" style="78" hidden="1" customWidth="1"/>
    <col min="13" max="13" width="19.5703125" style="78" customWidth="1"/>
    <col min="14" max="14" width="19.5703125" style="25" customWidth="1"/>
    <col min="15" max="16384" width="9.140625" style="25"/>
  </cols>
  <sheetData>
    <row r="1" spans="1:13" ht="20.25" thickBot="1">
      <c r="A1" s="29" t="s">
        <v>0</v>
      </c>
    </row>
    <row r="2" spans="1:13" ht="15.75" thickBot="1">
      <c r="A2" s="53" t="s">
        <v>1</v>
      </c>
      <c r="B2" s="53" t="s">
        <v>2</v>
      </c>
      <c r="C2" s="53" t="s">
        <v>689</v>
      </c>
      <c r="D2" s="53" t="s">
        <v>128</v>
      </c>
      <c r="E2" s="53" t="s">
        <v>3</v>
      </c>
      <c r="F2" s="53" t="s">
        <v>4</v>
      </c>
      <c r="G2" s="53" t="s">
        <v>5</v>
      </c>
      <c r="H2" s="53" t="s">
        <v>6</v>
      </c>
      <c r="I2" s="53" t="s">
        <v>758</v>
      </c>
      <c r="J2" s="1" t="s">
        <v>7</v>
      </c>
      <c r="K2" s="1" t="s">
        <v>233</v>
      </c>
      <c r="L2" s="1" t="s">
        <v>237</v>
      </c>
      <c r="M2" s="25"/>
    </row>
    <row r="3" spans="1:13" ht="15.75" thickBot="1">
      <c r="A3" s="54" t="s">
        <v>17</v>
      </c>
      <c r="B3" s="55" t="s">
        <v>18</v>
      </c>
      <c r="C3" s="56" t="s">
        <v>19</v>
      </c>
      <c r="D3" s="56">
        <v>37</v>
      </c>
      <c r="E3" s="56" t="s">
        <v>15</v>
      </c>
      <c r="F3" s="55" t="s">
        <v>16</v>
      </c>
      <c r="G3" s="56" t="s">
        <v>10</v>
      </c>
      <c r="H3" s="55" t="s">
        <v>11</v>
      </c>
      <c r="I3" s="55" t="s">
        <v>216</v>
      </c>
      <c r="J3" s="20" t="s">
        <v>20</v>
      </c>
      <c r="K3" s="16" t="s">
        <v>228</v>
      </c>
      <c r="L3" s="20" t="s">
        <v>15</v>
      </c>
      <c r="M3" s="25"/>
    </row>
    <row r="4" spans="1:13" ht="15.75" thickBot="1">
      <c r="A4" s="57" t="s">
        <v>21</v>
      </c>
      <c r="B4" s="58" t="s">
        <v>22</v>
      </c>
      <c r="C4" s="56" t="s">
        <v>23</v>
      </c>
      <c r="D4" s="59">
        <v>66</v>
      </c>
      <c r="E4" s="59" t="s">
        <v>24</v>
      </c>
      <c r="F4" s="58" t="s">
        <v>25</v>
      </c>
      <c r="G4" s="59" t="s">
        <v>10</v>
      </c>
      <c r="H4" s="58" t="s">
        <v>11</v>
      </c>
      <c r="I4" s="55" t="s">
        <v>216</v>
      </c>
      <c r="J4" s="19" t="s">
        <v>20</v>
      </c>
      <c r="K4" s="15" t="s">
        <v>228</v>
      </c>
      <c r="L4" s="19" t="s">
        <v>25</v>
      </c>
      <c r="M4" s="25"/>
    </row>
    <row r="5" spans="1:13" ht="15.75" thickBot="1">
      <c r="A5" s="57" t="s">
        <v>31</v>
      </c>
      <c r="B5" s="58" t="s">
        <v>32</v>
      </c>
      <c r="C5" s="56" t="s">
        <v>33</v>
      </c>
      <c r="D5" s="59">
        <v>504</v>
      </c>
      <c r="E5" s="59" t="s">
        <v>15</v>
      </c>
      <c r="F5" s="58" t="s">
        <v>34</v>
      </c>
      <c r="G5" s="59" t="s">
        <v>10</v>
      </c>
      <c r="H5" s="58" t="s">
        <v>11</v>
      </c>
      <c r="I5" s="55" t="s">
        <v>216</v>
      </c>
      <c r="J5" s="19" t="s">
        <v>20</v>
      </c>
      <c r="K5" s="15" t="s">
        <v>228</v>
      </c>
      <c r="L5" s="19" t="s">
        <v>15</v>
      </c>
      <c r="M5" s="25"/>
    </row>
    <row r="6" spans="1:13" ht="15.75" thickBot="1">
      <c r="A6" s="57" t="s">
        <v>35</v>
      </c>
      <c r="B6" s="58" t="s">
        <v>36</v>
      </c>
      <c r="C6" s="56" t="s">
        <v>37</v>
      </c>
      <c r="D6" s="59">
        <v>519</v>
      </c>
      <c r="E6" s="59" t="s">
        <v>15</v>
      </c>
      <c r="F6" s="58" t="s">
        <v>34</v>
      </c>
      <c r="G6" s="59" t="s">
        <v>10</v>
      </c>
      <c r="H6" s="58" t="s">
        <v>11</v>
      </c>
      <c r="I6" s="55" t="s">
        <v>216</v>
      </c>
      <c r="J6" s="19" t="s">
        <v>20</v>
      </c>
      <c r="K6" s="15" t="s">
        <v>228</v>
      </c>
      <c r="L6" s="19" t="s">
        <v>15</v>
      </c>
      <c r="M6" s="25"/>
    </row>
    <row r="7" spans="1:13" ht="15.75" thickBot="1">
      <c r="A7" s="57" t="s">
        <v>41</v>
      </c>
      <c r="B7" s="58" t="s">
        <v>42</v>
      </c>
      <c r="C7" s="56" t="s">
        <v>43</v>
      </c>
      <c r="D7" s="59">
        <v>700</v>
      </c>
      <c r="E7" s="59" t="s">
        <v>28</v>
      </c>
      <c r="F7" s="58" t="s">
        <v>29</v>
      </c>
      <c r="G7" s="59" t="s">
        <v>10</v>
      </c>
      <c r="H7" s="58" t="s">
        <v>11</v>
      </c>
      <c r="I7" s="55" t="s">
        <v>216</v>
      </c>
      <c r="J7" s="19" t="s">
        <v>20</v>
      </c>
      <c r="K7" s="15" t="s">
        <v>228</v>
      </c>
      <c r="L7" s="19" t="s">
        <v>223</v>
      </c>
      <c r="M7" s="25"/>
    </row>
    <row r="8" spans="1:13" ht="15.75" thickBot="1">
      <c r="A8" s="57" t="s">
        <v>44</v>
      </c>
      <c r="B8" s="58" t="s">
        <v>45</v>
      </c>
      <c r="C8" s="56" t="s">
        <v>46</v>
      </c>
      <c r="D8" s="59">
        <v>900</v>
      </c>
      <c r="E8" s="59" t="s">
        <v>47</v>
      </c>
      <c r="F8" s="58" t="s">
        <v>29</v>
      </c>
      <c r="G8" s="59" t="s">
        <v>10</v>
      </c>
      <c r="H8" s="58" t="s">
        <v>11</v>
      </c>
      <c r="I8" s="55" t="s">
        <v>216</v>
      </c>
      <c r="J8" s="19" t="s">
        <v>20</v>
      </c>
      <c r="K8" s="15" t="s">
        <v>228</v>
      </c>
      <c r="L8" s="19" t="s">
        <v>223</v>
      </c>
      <c r="M8" s="25"/>
    </row>
    <row r="9" spans="1:13" ht="15.75" thickBot="1">
      <c r="A9" s="57" t="s">
        <v>48</v>
      </c>
      <c r="B9" s="58" t="s">
        <v>49</v>
      </c>
      <c r="C9" s="56" t="s">
        <v>50</v>
      </c>
      <c r="D9" s="59">
        <v>100</v>
      </c>
      <c r="E9" s="59" t="s">
        <v>51</v>
      </c>
      <c r="F9" s="58" t="s">
        <v>40</v>
      </c>
      <c r="G9" s="59" t="s">
        <v>14</v>
      </c>
      <c r="H9" s="58" t="s">
        <v>11</v>
      </c>
      <c r="I9" s="55" t="s">
        <v>216</v>
      </c>
      <c r="J9" s="19" t="s">
        <v>20</v>
      </c>
      <c r="K9" s="15" t="s">
        <v>228</v>
      </c>
      <c r="L9" s="19" t="s">
        <v>40</v>
      </c>
      <c r="M9" s="25"/>
    </row>
    <row r="10" spans="1:13" ht="23.25" thickBot="1">
      <c r="A10" s="57" t="s">
        <v>52</v>
      </c>
      <c r="B10" s="58" t="s">
        <v>53</v>
      </c>
      <c r="C10" s="56" t="s">
        <v>54</v>
      </c>
      <c r="D10" s="59">
        <v>144</v>
      </c>
      <c r="E10" s="59" t="s">
        <v>55</v>
      </c>
      <c r="F10" s="58" t="s">
        <v>34</v>
      </c>
      <c r="G10" s="59" t="s">
        <v>10</v>
      </c>
      <c r="H10" s="58" t="s">
        <v>11</v>
      </c>
      <c r="I10" s="55" t="s">
        <v>216</v>
      </c>
      <c r="J10" s="19" t="s">
        <v>20</v>
      </c>
      <c r="K10" s="15" t="s">
        <v>228</v>
      </c>
      <c r="L10" s="19" t="s">
        <v>55</v>
      </c>
      <c r="M10" s="25"/>
    </row>
    <row r="11" spans="1:13" ht="23.25" thickBot="1">
      <c r="A11" s="57" t="s">
        <v>56</v>
      </c>
      <c r="B11" s="58" t="s">
        <v>57</v>
      </c>
      <c r="C11" s="56" t="s">
        <v>58</v>
      </c>
      <c r="D11" s="59">
        <v>644.5</v>
      </c>
      <c r="E11" s="59" t="s">
        <v>55</v>
      </c>
      <c r="F11" s="58" t="s">
        <v>34</v>
      </c>
      <c r="G11" s="59" t="s">
        <v>10</v>
      </c>
      <c r="H11" s="58" t="s">
        <v>11</v>
      </c>
      <c r="I11" s="55" t="s">
        <v>216</v>
      </c>
      <c r="J11" s="19" t="s">
        <v>20</v>
      </c>
      <c r="K11" s="15" t="s">
        <v>228</v>
      </c>
      <c r="L11" s="19" t="s">
        <v>55</v>
      </c>
      <c r="M11" s="25"/>
    </row>
    <row r="12" spans="1:13" ht="15.75" thickBot="1">
      <c r="A12" s="57" t="s">
        <v>104</v>
      </c>
      <c r="B12" s="58" t="s">
        <v>290</v>
      </c>
      <c r="C12" s="56" t="s">
        <v>695</v>
      </c>
      <c r="D12" s="59">
        <v>108.5</v>
      </c>
      <c r="E12" s="59" t="s">
        <v>39</v>
      </c>
      <c r="F12" s="58" t="s">
        <v>40</v>
      </c>
      <c r="G12" s="59" t="s">
        <v>14</v>
      </c>
      <c r="H12" s="58" t="s">
        <v>728</v>
      </c>
      <c r="I12" s="55" t="s">
        <v>216</v>
      </c>
      <c r="J12" s="19" t="s">
        <v>20</v>
      </c>
      <c r="K12" s="15" t="s">
        <v>228</v>
      </c>
      <c r="L12" s="19" t="s">
        <v>40</v>
      </c>
      <c r="M12" s="25"/>
    </row>
    <row r="13" spans="1:13" ht="15.75" thickBot="1">
      <c r="A13" s="57" t="s">
        <v>59</v>
      </c>
      <c r="B13" s="58" t="s">
        <v>60</v>
      </c>
      <c r="C13" s="56" t="s">
        <v>61</v>
      </c>
      <c r="D13" s="59">
        <v>1680</v>
      </c>
      <c r="E13" s="59" t="s">
        <v>28</v>
      </c>
      <c r="F13" s="58" t="s">
        <v>29</v>
      </c>
      <c r="G13" s="59" t="s">
        <v>10</v>
      </c>
      <c r="H13" s="58" t="s">
        <v>11</v>
      </c>
      <c r="I13" s="55" t="s">
        <v>216</v>
      </c>
      <c r="J13" s="19" t="s">
        <v>20</v>
      </c>
      <c r="K13" s="15" t="s">
        <v>228</v>
      </c>
      <c r="L13" s="19" t="s">
        <v>223</v>
      </c>
      <c r="M13" s="25"/>
    </row>
    <row r="14" spans="1:13" ht="15.75" thickBot="1">
      <c r="A14" s="57" t="s">
        <v>338</v>
      </c>
      <c r="B14" s="58" t="s">
        <v>339</v>
      </c>
      <c r="C14" s="56" t="s">
        <v>706</v>
      </c>
      <c r="D14" s="59">
        <v>57.5</v>
      </c>
      <c r="E14" s="59" t="s">
        <v>39</v>
      </c>
      <c r="F14" s="58" t="s">
        <v>40</v>
      </c>
      <c r="G14" s="59" t="s">
        <v>14</v>
      </c>
      <c r="H14" s="58" t="s">
        <v>728</v>
      </c>
      <c r="I14" s="55" t="s">
        <v>216</v>
      </c>
      <c r="J14" s="19" t="s">
        <v>20</v>
      </c>
      <c r="K14" s="15" t="s">
        <v>228</v>
      </c>
      <c r="L14" s="19" t="s">
        <v>40</v>
      </c>
      <c r="M14" s="25"/>
    </row>
    <row r="15" spans="1:13" ht="15.75" thickBot="1">
      <c r="A15" s="57" t="s">
        <v>62</v>
      </c>
      <c r="B15" s="58" t="s">
        <v>22</v>
      </c>
      <c r="C15" s="56" t="s">
        <v>63</v>
      </c>
      <c r="D15" s="59">
        <v>86.4</v>
      </c>
      <c r="E15" s="59" t="s">
        <v>24</v>
      </c>
      <c r="F15" s="58" t="s">
        <v>25</v>
      </c>
      <c r="G15" s="59" t="s">
        <v>10</v>
      </c>
      <c r="H15" s="58" t="s">
        <v>11</v>
      </c>
      <c r="I15" s="55" t="s">
        <v>216</v>
      </c>
      <c r="J15" s="19" t="s">
        <v>20</v>
      </c>
      <c r="K15" s="15" t="s">
        <v>228</v>
      </c>
      <c r="L15" s="19" t="s">
        <v>25</v>
      </c>
      <c r="M15" s="25"/>
    </row>
    <row r="16" spans="1:13" ht="15.75" thickBot="1">
      <c r="A16" s="57" t="s">
        <v>64</v>
      </c>
      <c r="B16" s="58" t="s">
        <v>65</v>
      </c>
      <c r="C16" s="56" t="s">
        <v>66</v>
      </c>
      <c r="D16" s="59">
        <v>50</v>
      </c>
      <c r="E16" s="59" t="s">
        <v>39</v>
      </c>
      <c r="F16" s="58" t="s">
        <v>40</v>
      </c>
      <c r="G16" s="59" t="s">
        <v>14</v>
      </c>
      <c r="H16" s="58" t="s">
        <v>11</v>
      </c>
      <c r="I16" s="55" t="s">
        <v>216</v>
      </c>
      <c r="J16" s="19" t="s">
        <v>20</v>
      </c>
      <c r="K16" s="15" t="s">
        <v>228</v>
      </c>
      <c r="L16" s="19" t="s">
        <v>40</v>
      </c>
      <c r="M16" s="25"/>
    </row>
    <row r="17" spans="1:13" ht="15.75" thickBot="1">
      <c r="A17" s="57" t="s">
        <v>67</v>
      </c>
      <c r="B17" s="58" t="s">
        <v>42</v>
      </c>
      <c r="C17" s="56" t="s">
        <v>68</v>
      </c>
      <c r="D17" s="59">
        <v>744</v>
      </c>
      <c r="E17" s="59" t="s">
        <v>47</v>
      </c>
      <c r="F17" s="58" t="s">
        <v>29</v>
      </c>
      <c r="G17" s="59" t="s">
        <v>10</v>
      </c>
      <c r="H17" s="58" t="s">
        <v>11</v>
      </c>
      <c r="I17" s="55" t="s">
        <v>216</v>
      </c>
      <c r="J17" s="19" t="s">
        <v>20</v>
      </c>
      <c r="K17" s="15" t="s">
        <v>228</v>
      </c>
      <c r="L17" s="19" t="s">
        <v>223</v>
      </c>
      <c r="M17" s="25"/>
    </row>
    <row r="18" spans="1:13" ht="15.75" thickBot="1">
      <c r="A18" s="57" t="s">
        <v>71</v>
      </c>
      <c r="B18" s="58" t="s">
        <v>22</v>
      </c>
      <c r="C18" s="56" t="s">
        <v>72</v>
      </c>
      <c r="D18" s="59">
        <v>34</v>
      </c>
      <c r="E18" s="59" t="s">
        <v>15</v>
      </c>
      <c r="F18" s="58" t="s">
        <v>9</v>
      </c>
      <c r="G18" s="59" t="s">
        <v>10</v>
      </c>
      <c r="H18" s="58" t="s">
        <v>70</v>
      </c>
      <c r="I18" s="55" t="s">
        <v>216</v>
      </c>
      <c r="J18" s="19" t="s">
        <v>20</v>
      </c>
      <c r="K18" s="15" t="s">
        <v>70</v>
      </c>
      <c r="L18" s="19" t="s">
        <v>15</v>
      </c>
      <c r="M18" s="25"/>
    </row>
    <row r="19" spans="1:13" ht="15.75" thickBot="1">
      <c r="A19" s="57" t="s">
        <v>73</v>
      </c>
      <c r="B19" s="58" t="s">
        <v>74</v>
      </c>
      <c r="C19" s="56" t="s">
        <v>75</v>
      </c>
      <c r="D19" s="59">
        <v>852</v>
      </c>
      <c r="E19" s="59" t="s">
        <v>47</v>
      </c>
      <c r="F19" s="58" t="s">
        <v>29</v>
      </c>
      <c r="G19" s="59" t="s">
        <v>10</v>
      </c>
      <c r="H19" s="58" t="s">
        <v>11</v>
      </c>
      <c r="I19" s="55" t="s">
        <v>216</v>
      </c>
      <c r="J19" s="19" t="s">
        <v>20</v>
      </c>
      <c r="K19" s="15" t="s">
        <v>228</v>
      </c>
      <c r="L19" s="19" t="s">
        <v>223</v>
      </c>
      <c r="M19" s="25"/>
    </row>
    <row r="20" spans="1:13" ht="23.25" thickBot="1">
      <c r="A20" s="57" t="s">
        <v>76</v>
      </c>
      <c r="B20" s="58" t="s">
        <v>77</v>
      </c>
      <c r="C20" s="56" t="s">
        <v>711</v>
      </c>
      <c r="D20" s="59">
        <v>423.5</v>
      </c>
      <c r="E20" s="59" t="s">
        <v>15</v>
      </c>
      <c r="F20" s="58" t="s">
        <v>683</v>
      </c>
      <c r="G20" s="59" t="s">
        <v>10</v>
      </c>
      <c r="H20" s="58" t="s">
        <v>11</v>
      </c>
      <c r="I20" s="55" t="s">
        <v>216</v>
      </c>
      <c r="J20" s="19" t="s">
        <v>20</v>
      </c>
      <c r="K20" s="15" t="s">
        <v>228</v>
      </c>
      <c r="L20" s="19" t="s">
        <v>15</v>
      </c>
      <c r="M20" s="25"/>
    </row>
    <row r="21" spans="1:13" ht="15.75" thickBot="1">
      <c r="A21" s="57" t="s">
        <v>78</v>
      </c>
      <c r="B21" s="58" t="s">
        <v>79</v>
      </c>
      <c r="C21" s="56" t="s">
        <v>80</v>
      </c>
      <c r="D21" s="59">
        <v>282</v>
      </c>
      <c r="E21" s="59" t="s">
        <v>15</v>
      </c>
      <c r="F21" s="58" t="s">
        <v>16</v>
      </c>
      <c r="G21" s="59" t="s">
        <v>10</v>
      </c>
      <c r="H21" s="58" t="s">
        <v>11</v>
      </c>
      <c r="I21" s="55" t="s">
        <v>216</v>
      </c>
      <c r="J21" s="19" t="s">
        <v>20</v>
      </c>
      <c r="K21" s="15" t="s">
        <v>228</v>
      </c>
      <c r="L21" s="19" t="s">
        <v>15</v>
      </c>
      <c r="M21" s="25"/>
    </row>
    <row r="22" spans="1:13" ht="15.75" thickBot="1">
      <c r="A22" s="57" t="s">
        <v>81</v>
      </c>
      <c r="B22" s="58" t="s">
        <v>57</v>
      </c>
      <c r="C22" s="56" t="s">
        <v>69</v>
      </c>
      <c r="D22" s="59">
        <v>80</v>
      </c>
      <c r="E22" s="59" t="s">
        <v>15</v>
      </c>
      <c r="F22" s="58" t="s">
        <v>16</v>
      </c>
      <c r="G22" s="59" t="s">
        <v>10</v>
      </c>
      <c r="H22" s="58" t="s">
        <v>11</v>
      </c>
      <c r="I22" s="55" t="s">
        <v>216</v>
      </c>
      <c r="J22" s="19" t="s">
        <v>20</v>
      </c>
      <c r="K22" s="15" t="s">
        <v>228</v>
      </c>
      <c r="L22" s="19" t="s">
        <v>15</v>
      </c>
      <c r="M22" s="25"/>
    </row>
    <row r="23" spans="1:13" ht="15.75" thickBot="1">
      <c r="A23" s="57" t="s">
        <v>122</v>
      </c>
      <c r="B23" s="58" t="s">
        <v>397</v>
      </c>
      <c r="C23" s="56" t="s">
        <v>712</v>
      </c>
      <c r="D23" s="59">
        <v>128</v>
      </c>
      <c r="E23" s="59" t="s">
        <v>51</v>
      </c>
      <c r="F23" s="58" t="s">
        <v>40</v>
      </c>
      <c r="G23" s="59" t="s">
        <v>14</v>
      </c>
      <c r="H23" s="58" t="s">
        <v>728</v>
      </c>
      <c r="I23" s="55" t="s">
        <v>216</v>
      </c>
      <c r="J23" s="19" t="s">
        <v>20</v>
      </c>
      <c r="K23" s="15" t="s">
        <v>228</v>
      </c>
      <c r="L23" s="19" t="s">
        <v>40</v>
      </c>
      <c r="M23" s="25"/>
    </row>
    <row r="24" spans="1:13" ht="15.75" thickBot="1">
      <c r="A24" s="57" t="s">
        <v>82</v>
      </c>
      <c r="B24" s="58" t="s">
        <v>22</v>
      </c>
      <c r="C24" s="56" t="s">
        <v>83</v>
      </c>
      <c r="D24" s="59">
        <v>1460</v>
      </c>
      <c r="E24" s="59" t="s">
        <v>28</v>
      </c>
      <c r="F24" s="58" t="s">
        <v>29</v>
      </c>
      <c r="G24" s="59" t="s">
        <v>10</v>
      </c>
      <c r="H24" s="58" t="s">
        <v>11</v>
      </c>
      <c r="I24" s="55" t="s">
        <v>216</v>
      </c>
      <c r="J24" s="19" t="s">
        <v>20</v>
      </c>
      <c r="K24" s="15" t="s">
        <v>228</v>
      </c>
      <c r="L24" s="19" t="s">
        <v>223</v>
      </c>
      <c r="M24" s="25"/>
    </row>
    <row r="25" spans="1:13" ht="15.75" thickBot="1">
      <c r="A25" s="57" t="s">
        <v>193</v>
      </c>
      <c r="B25" s="58" t="s">
        <v>194</v>
      </c>
      <c r="C25" s="56" t="s">
        <v>619</v>
      </c>
      <c r="D25" s="59">
        <v>124</v>
      </c>
      <c r="E25" s="59" t="s">
        <v>39</v>
      </c>
      <c r="F25" s="58" t="s">
        <v>40</v>
      </c>
      <c r="G25" s="59" t="s">
        <v>14</v>
      </c>
      <c r="H25" s="58" t="s">
        <v>11</v>
      </c>
      <c r="I25" s="55" t="s">
        <v>216</v>
      </c>
      <c r="J25" s="19" t="s">
        <v>20</v>
      </c>
      <c r="K25" s="15" t="s">
        <v>228</v>
      </c>
      <c r="L25" s="19" t="s">
        <v>40</v>
      </c>
      <c r="M25" s="25"/>
    </row>
    <row r="26" spans="1:13" ht="15.75" thickBot="1">
      <c r="A26" s="57" t="s">
        <v>84</v>
      </c>
      <c r="B26" s="58" t="s">
        <v>22</v>
      </c>
      <c r="C26" s="56" t="s">
        <v>85</v>
      </c>
      <c r="D26" s="59">
        <v>385</v>
      </c>
      <c r="E26" s="59" t="s">
        <v>55</v>
      </c>
      <c r="F26" s="58" t="s">
        <v>34</v>
      </c>
      <c r="G26" s="59" t="s">
        <v>10</v>
      </c>
      <c r="H26" s="58" t="s">
        <v>11</v>
      </c>
      <c r="I26" s="55" t="s">
        <v>216</v>
      </c>
      <c r="J26" s="19" t="s">
        <v>20</v>
      </c>
      <c r="K26" s="15" t="s">
        <v>228</v>
      </c>
      <c r="L26" s="19" t="s">
        <v>55</v>
      </c>
      <c r="M26" s="25"/>
    </row>
    <row r="27" spans="1:13" ht="15.75" thickBot="1">
      <c r="A27" s="57" t="s">
        <v>87</v>
      </c>
      <c r="B27" s="58" t="s">
        <v>22</v>
      </c>
      <c r="C27" s="56" t="s">
        <v>88</v>
      </c>
      <c r="D27" s="59">
        <v>1400</v>
      </c>
      <c r="E27" s="59" t="s">
        <v>28</v>
      </c>
      <c r="F27" s="58" t="s">
        <v>29</v>
      </c>
      <c r="G27" s="59" t="s">
        <v>10</v>
      </c>
      <c r="H27" s="58" t="s">
        <v>11</v>
      </c>
      <c r="I27" s="55" t="s">
        <v>216</v>
      </c>
      <c r="J27" s="19" t="s">
        <v>20</v>
      </c>
      <c r="K27" s="15" t="s">
        <v>228</v>
      </c>
      <c r="L27" s="19" t="s">
        <v>223</v>
      </c>
      <c r="M27" s="25"/>
    </row>
    <row r="28" spans="1:13" s="78" customFormat="1" ht="15.75" thickBot="1">
      <c r="A28" s="57" t="s">
        <v>89</v>
      </c>
      <c r="B28" s="58" t="s">
        <v>22</v>
      </c>
      <c r="C28" s="56" t="s">
        <v>90</v>
      </c>
      <c r="D28" s="59">
        <v>450</v>
      </c>
      <c r="E28" s="59" t="s">
        <v>47</v>
      </c>
      <c r="F28" s="58" t="s">
        <v>29</v>
      </c>
      <c r="G28" s="59" t="s">
        <v>10</v>
      </c>
      <c r="H28" s="58" t="s">
        <v>11</v>
      </c>
      <c r="I28" s="55" t="s">
        <v>216</v>
      </c>
      <c r="J28" s="19" t="s">
        <v>20</v>
      </c>
      <c r="K28" s="15" t="s">
        <v>228</v>
      </c>
      <c r="L28" s="19" t="s">
        <v>223</v>
      </c>
    </row>
    <row r="29" spans="1:13" s="78" customFormat="1" ht="23.25" thickBot="1">
      <c r="A29" s="57" t="s">
        <v>91</v>
      </c>
      <c r="B29" s="58" t="s">
        <v>92</v>
      </c>
      <c r="C29" s="56" t="s">
        <v>713</v>
      </c>
      <c r="D29" s="59">
        <v>242</v>
      </c>
      <c r="E29" s="59" t="s">
        <v>55</v>
      </c>
      <c r="F29" s="58" t="s">
        <v>34</v>
      </c>
      <c r="G29" s="59" t="s">
        <v>10</v>
      </c>
      <c r="H29" s="58" t="s">
        <v>11</v>
      </c>
      <c r="I29" s="55" t="s">
        <v>216</v>
      </c>
      <c r="J29" s="19" t="s">
        <v>20</v>
      </c>
      <c r="K29" s="15" t="s">
        <v>228</v>
      </c>
      <c r="L29" s="19" t="s">
        <v>55</v>
      </c>
    </row>
    <row r="30" spans="1:13" s="78" customFormat="1" ht="15.75" thickBot="1">
      <c r="A30" s="57" t="s">
        <v>125</v>
      </c>
      <c r="B30" s="58" t="s">
        <v>419</v>
      </c>
      <c r="C30" s="56" t="s">
        <v>777</v>
      </c>
      <c r="D30" s="59">
        <v>57.5</v>
      </c>
      <c r="E30" s="59" t="s">
        <v>39</v>
      </c>
      <c r="F30" s="58" t="s">
        <v>40</v>
      </c>
      <c r="G30" s="59" t="s">
        <v>14</v>
      </c>
      <c r="H30" s="58" t="s">
        <v>728</v>
      </c>
      <c r="I30" s="55"/>
      <c r="J30" s="19" t="s">
        <v>20</v>
      </c>
      <c r="K30" s="15" t="s">
        <v>228</v>
      </c>
      <c r="L30" s="19" t="s">
        <v>40</v>
      </c>
    </row>
    <row r="31" spans="1:13">
      <c r="A31" s="133" t="s">
        <v>93</v>
      </c>
      <c r="B31" s="134" t="s">
        <v>42</v>
      </c>
      <c r="C31" s="135" t="s">
        <v>94</v>
      </c>
      <c r="D31" s="136">
        <v>570</v>
      </c>
      <c r="E31" s="136" t="s">
        <v>729</v>
      </c>
      <c r="F31" s="134" t="s">
        <v>25</v>
      </c>
      <c r="G31" s="136" t="s">
        <v>10</v>
      </c>
      <c r="H31" s="134" t="s">
        <v>11</v>
      </c>
      <c r="I31" s="137" t="s">
        <v>216</v>
      </c>
      <c r="J31" s="138" t="s">
        <v>20</v>
      </c>
      <c r="K31" s="139" t="s">
        <v>228</v>
      </c>
      <c r="L31" s="138" t="s">
        <v>25</v>
      </c>
    </row>
    <row r="32" spans="1:13" ht="15.75" thickBot="1"/>
    <row r="33" spans="1:11" ht="7.5" customHeight="1" thickBot="1">
      <c r="A33" s="51" t="s">
        <v>95</v>
      </c>
      <c r="B33" s="93"/>
      <c r="C33" s="94"/>
      <c r="D33" s="52">
        <f>SUM(existingstable[Nameplate Capacity (MW)])</f>
        <v>12828.9</v>
      </c>
      <c r="E33" s="94"/>
      <c r="F33" s="93"/>
      <c r="G33" s="94"/>
      <c r="H33" s="93"/>
      <c r="I33" s="130"/>
    </row>
    <row r="34" spans="1:11" ht="26.25" customHeight="1"/>
    <row r="35" spans="1:11">
      <c r="A35" s="158" t="s">
        <v>731</v>
      </c>
      <c r="B35" s="159"/>
      <c r="C35" s="159"/>
      <c r="D35" s="159"/>
      <c r="E35" s="159"/>
      <c r="F35" s="159"/>
      <c r="G35" s="159"/>
      <c r="H35" s="159"/>
      <c r="I35" s="159"/>
      <c r="J35" s="159"/>
      <c r="K35" s="159"/>
    </row>
  </sheetData>
  <mergeCells count="1">
    <mergeCell ref="A35:K35"/>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3"/>
  <sheetViews>
    <sheetView workbookViewId="0"/>
  </sheetViews>
  <sheetFormatPr defaultColWidth="9.140625" defaultRowHeight="15"/>
  <cols>
    <col min="1" max="1" width="19" style="25" bestFit="1" customWidth="1"/>
    <col min="2" max="11" width="10.7109375"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557</v>
      </c>
    </row>
    <row r="2" spans="1:15" ht="15.75" thickBot="1">
      <c r="A2" s="116" t="s">
        <v>558</v>
      </c>
      <c r="B2" s="116" t="s">
        <v>696</v>
      </c>
      <c r="C2" s="116" t="s">
        <v>697</v>
      </c>
      <c r="D2" s="116" t="s">
        <v>698</v>
      </c>
      <c r="E2" s="116" t="s">
        <v>699</v>
      </c>
      <c r="F2" s="116" t="s">
        <v>700</v>
      </c>
      <c r="G2" s="116" t="s">
        <v>701</v>
      </c>
      <c r="H2" s="116" t="s">
        <v>702</v>
      </c>
      <c r="I2" s="116" t="s">
        <v>703</v>
      </c>
      <c r="J2" s="116" t="s">
        <v>704</v>
      </c>
      <c r="K2" s="116" t="s">
        <v>705</v>
      </c>
      <c r="L2" s="116" t="s">
        <v>653</v>
      </c>
      <c r="M2" s="53" t="s">
        <v>559</v>
      </c>
      <c r="N2" s="53" t="s">
        <v>7</v>
      </c>
      <c r="O2" s="53" t="s">
        <v>560</v>
      </c>
    </row>
    <row r="3" spans="1:15" ht="15.75" thickBot="1">
      <c r="A3" s="18" t="s">
        <v>17</v>
      </c>
      <c r="B3" s="82">
        <v>34</v>
      </c>
      <c r="C3" s="83">
        <v>34</v>
      </c>
      <c r="D3" s="82">
        <v>34</v>
      </c>
      <c r="E3" s="83">
        <v>34</v>
      </c>
      <c r="F3" s="82">
        <v>34</v>
      </c>
      <c r="G3" s="83">
        <v>34</v>
      </c>
      <c r="H3" s="82">
        <v>34</v>
      </c>
      <c r="I3" s="83">
        <v>34</v>
      </c>
      <c r="J3" s="82">
        <v>34</v>
      </c>
      <c r="K3" s="83">
        <v>34</v>
      </c>
      <c r="L3" s="72" t="s">
        <v>10</v>
      </c>
      <c r="M3" s="22" t="s">
        <v>561</v>
      </c>
      <c r="N3" s="72" t="s">
        <v>20</v>
      </c>
      <c r="O3" s="22" t="s">
        <v>562</v>
      </c>
    </row>
    <row r="4" spans="1:15" ht="15.75" thickBot="1">
      <c r="A4" s="17" t="s">
        <v>21</v>
      </c>
      <c r="B4" s="84">
        <v>66</v>
      </c>
      <c r="C4" s="85">
        <v>66</v>
      </c>
      <c r="D4" s="84">
        <v>66</v>
      </c>
      <c r="E4" s="85">
        <v>66</v>
      </c>
      <c r="F4" s="84">
        <v>66</v>
      </c>
      <c r="G4" s="85">
        <v>66</v>
      </c>
      <c r="H4" s="84">
        <v>66</v>
      </c>
      <c r="I4" s="85">
        <v>66</v>
      </c>
      <c r="J4" s="84">
        <v>66</v>
      </c>
      <c r="K4" s="85">
        <v>66</v>
      </c>
      <c r="L4" s="71" t="s">
        <v>10</v>
      </c>
      <c r="M4" s="21" t="s">
        <v>563</v>
      </c>
      <c r="N4" s="71" t="s">
        <v>20</v>
      </c>
      <c r="O4" s="21" t="s">
        <v>562</v>
      </c>
    </row>
    <row r="5" spans="1:15" ht="15.75" thickBot="1">
      <c r="A5" s="17" t="s">
        <v>31</v>
      </c>
      <c r="B5" s="84">
        <v>491</v>
      </c>
      <c r="C5" s="85">
        <v>491</v>
      </c>
      <c r="D5" s="84">
        <v>491</v>
      </c>
      <c r="E5" s="85">
        <v>491</v>
      </c>
      <c r="F5" s="84">
        <v>501</v>
      </c>
      <c r="G5" s="85">
        <v>501</v>
      </c>
      <c r="H5" s="84">
        <v>501</v>
      </c>
      <c r="I5" s="85">
        <v>501</v>
      </c>
      <c r="J5" s="84">
        <v>501</v>
      </c>
      <c r="K5" s="85">
        <v>501</v>
      </c>
      <c r="L5" s="71" t="s">
        <v>10</v>
      </c>
      <c r="M5" s="21" t="s">
        <v>561</v>
      </c>
      <c r="N5" s="71" t="s">
        <v>20</v>
      </c>
      <c r="O5" s="21" t="s">
        <v>562</v>
      </c>
    </row>
    <row r="6" spans="1:15" ht="15.75" thickBot="1">
      <c r="A6" s="17" t="s">
        <v>35</v>
      </c>
      <c r="B6" s="84">
        <v>495</v>
      </c>
      <c r="C6" s="85">
        <v>495</v>
      </c>
      <c r="D6" s="84">
        <v>495</v>
      </c>
      <c r="E6" s="85">
        <v>495</v>
      </c>
      <c r="F6" s="84">
        <v>495</v>
      </c>
      <c r="G6" s="85">
        <v>495</v>
      </c>
      <c r="H6" s="84">
        <v>495</v>
      </c>
      <c r="I6" s="85">
        <v>495</v>
      </c>
      <c r="J6" s="84">
        <v>495</v>
      </c>
      <c r="K6" s="85">
        <v>495</v>
      </c>
      <c r="L6" s="71" t="s">
        <v>10</v>
      </c>
      <c r="M6" s="21" t="s">
        <v>561</v>
      </c>
      <c r="N6" s="71" t="s">
        <v>20</v>
      </c>
      <c r="O6" s="21" t="s">
        <v>562</v>
      </c>
    </row>
    <row r="7" spans="1:15" ht="15.75" thickBot="1">
      <c r="A7" s="17" t="s">
        <v>736</v>
      </c>
      <c r="B7" s="84">
        <v>0</v>
      </c>
      <c r="C7" s="85">
        <v>0</v>
      </c>
      <c r="D7" s="84">
        <v>34.5</v>
      </c>
      <c r="E7" s="85">
        <v>34.5</v>
      </c>
      <c r="F7" s="84">
        <v>34.5</v>
      </c>
      <c r="G7" s="85">
        <v>34.5</v>
      </c>
      <c r="H7" s="84">
        <v>34.5</v>
      </c>
      <c r="I7" s="85">
        <v>34.5</v>
      </c>
      <c r="J7" s="84">
        <v>34.5</v>
      </c>
      <c r="K7" s="85">
        <v>34.5</v>
      </c>
      <c r="L7" s="71" t="s">
        <v>14</v>
      </c>
      <c r="M7" s="21" t="s">
        <v>40</v>
      </c>
      <c r="N7" s="71" t="s">
        <v>20</v>
      </c>
      <c r="O7" s="21" t="s">
        <v>562</v>
      </c>
    </row>
    <row r="8" spans="1:15" ht="15.75" thickBot="1">
      <c r="A8" s="17" t="s">
        <v>41</v>
      </c>
      <c r="B8" s="84">
        <v>620</v>
      </c>
      <c r="C8" s="85">
        <v>700</v>
      </c>
      <c r="D8" s="84">
        <v>700</v>
      </c>
      <c r="E8" s="85">
        <v>700</v>
      </c>
      <c r="F8" s="84">
        <v>700</v>
      </c>
      <c r="G8" s="85">
        <v>700</v>
      </c>
      <c r="H8" s="84">
        <v>700</v>
      </c>
      <c r="I8" s="85">
        <v>700</v>
      </c>
      <c r="J8" s="84">
        <v>700</v>
      </c>
      <c r="K8" s="85">
        <v>700</v>
      </c>
      <c r="L8" s="71" t="s">
        <v>10</v>
      </c>
      <c r="M8" s="21" t="s">
        <v>561</v>
      </c>
      <c r="N8" s="71" t="s">
        <v>20</v>
      </c>
      <c r="O8" s="21" t="s">
        <v>562</v>
      </c>
    </row>
    <row r="9" spans="1:15" ht="15.75" thickBot="1">
      <c r="A9" s="17" t="s">
        <v>44</v>
      </c>
      <c r="B9" s="84">
        <v>840</v>
      </c>
      <c r="C9" s="85">
        <v>840</v>
      </c>
      <c r="D9" s="84">
        <v>840</v>
      </c>
      <c r="E9" s="85">
        <v>840</v>
      </c>
      <c r="F9" s="84">
        <v>840</v>
      </c>
      <c r="G9" s="85">
        <v>840</v>
      </c>
      <c r="H9" s="84">
        <v>840</v>
      </c>
      <c r="I9" s="85">
        <v>840</v>
      </c>
      <c r="J9" s="84">
        <v>840</v>
      </c>
      <c r="K9" s="85">
        <v>840</v>
      </c>
      <c r="L9" s="71" t="s">
        <v>10</v>
      </c>
      <c r="M9" s="21" t="s">
        <v>561</v>
      </c>
      <c r="N9" s="71" t="s">
        <v>20</v>
      </c>
      <c r="O9" s="21" t="s">
        <v>562</v>
      </c>
    </row>
    <row r="10" spans="1:15" ht="15.75" thickBot="1">
      <c r="A10" s="17" t="s">
        <v>296</v>
      </c>
      <c r="B10" s="84">
        <v>56</v>
      </c>
      <c r="C10" s="85">
        <v>56</v>
      </c>
      <c r="D10" s="84">
        <v>56</v>
      </c>
      <c r="E10" s="85">
        <v>56</v>
      </c>
      <c r="F10" s="84">
        <v>56</v>
      </c>
      <c r="G10" s="85">
        <v>56</v>
      </c>
      <c r="H10" s="84">
        <v>56</v>
      </c>
      <c r="I10" s="85">
        <v>56</v>
      </c>
      <c r="J10" s="84">
        <v>56</v>
      </c>
      <c r="K10" s="85">
        <v>56</v>
      </c>
      <c r="L10" s="71" t="s">
        <v>14</v>
      </c>
      <c r="M10" s="21" t="s">
        <v>40</v>
      </c>
      <c r="N10" s="71" t="s">
        <v>20</v>
      </c>
      <c r="O10" s="21" t="s">
        <v>562</v>
      </c>
    </row>
    <row r="11" spans="1:15" ht="15.75" thickBot="1">
      <c r="A11" s="17" t="s">
        <v>48</v>
      </c>
      <c r="B11" s="84">
        <v>100</v>
      </c>
      <c r="C11" s="85">
        <v>99.3</v>
      </c>
      <c r="D11" s="84">
        <v>98.6</v>
      </c>
      <c r="E11" s="85">
        <v>97.9</v>
      </c>
      <c r="F11" s="84">
        <v>97.2</v>
      </c>
      <c r="G11" s="85">
        <v>96.5</v>
      </c>
      <c r="H11" s="84">
        <v>95.9</v>
      </c>
      <c r="I11" s="85">
        <v>95.2</v>
      </c>
      <c r="J11" s="84">
        <v>94.5</v>
      </c>
      <c r="K11" s="85">
        <v>93.9</v>
      </c>
      <c r="L11" s="71" t="s">
        <v>14</v>
      </c>
      <c r="M11" s="21" t="s">
        <v>40</v>
      </c>
      <c r="N11" s="71" t="s">
        <v>20</v>
      </c>
      <c r="O11" s="21" t="s">
        <v>562</v>
      </c>
    </row>
    <row r="12" spans="1:15" ht="15.75" thickBot="1">
      <c r="A12" s="17" t="s">
        <v>100</v>
      </c>
      <c r="B12" s="84">
        <v>75</v>
      </c>
      <c r="C12" s="85">
        <v>75</v>
      </c>
      <c r="D12" s="84">
        <v>75</v>
      </c>
      <c r="E12" s="85">
        <v>75</v>
      </c>
      <c r="F12" s="84">
        <v>75</v>
      </c>
      <c r="G12" s="85">
        <v>75</v>
      </c>
      <c r="H12" s="84">
        <v>75</v>
      </c>
      <c r="I12" s="85">
        <v>75</v>
      </c>
      <c r="J12" s="84">
        <v>75</v>
      </c>
      <c r="K12" s="85">
        <v>75</v>
      </c>
      <c r="L12" s="71" t="s">
        <v>14</v>
      </c>
      <c r="M12" s="21" t="s">
        <v>40</v>
      </c>
      <c r="N12" s="71" t="s">
        <v>20</v>
      </c>
      <c r="O12" s="21" t="s">
        <v>562</v>
      </c>
    </row>
    <row r="13" spans="1:15" ht="15.75" thickBot="1">
      <c r="A13" s="17" t="s">
        <v>102</v>
      </c>
      <c r="B13" s="84">
        <v>42.5</v>
      </c>
      <c r="C13" s="85">
        <v>42.5</v>
      </c>
      <c r="D13" s="84">
        <v>42.5</v>
      </c>
      <c r="E13" s="85">
        <v>42.5</v>
      </c>
      <c r="F13" s="84">
        <v>42.5</v>
      </c>
      <c r="G13" s="85">
        <v>42.5</v>
      </c>
      <c r="H13" s="84">
        <v>42.5</v>
      </c>
      <c r="I13" s="85">
        <v>42.5</v>
      </c>
      <c r="J13" s="84">
        <v>42.5</v>
      </c>
      <c r="K13" s="85">
        <v>42.5</v>
      </c>
      <c r="L13" s="71" t="s">
        <v>14</v>
      </c>
      <c r="M13" s="21" t="s">
        <v>40</v>
      </c>
      <c r="N13" s="71" t="s">
        <v>20</v>
      </c>
      <c r="O13" s="21" t="s">
        <v>562</v>
      </c>
    </row>
    <row r="14" spans="1:15" ht="15.75" thickBot="1">
      <c r="A14" s="17" t="s">
        <v>52</v>
      </c>
      <c r="B14" s="84">
        <v>89.5</v>
      </c>
      <c r="C14" s="85">
        <v>89.5</v>
      </c>
      <c r="D14" s="84">
        <v>89.5</v>
      </c>
      <c r="E14" s="85">
        <v>89.5</v>
      </c>
      <c r="F14" s="84">
        <v>89.5</v>
      </c>
      <c r="G14" s="85">
        <v>89.5</v>
      </c>
      <c r="H14" s="84">
        <v>89.5</v>
      </c>
      <c r="I14" s="85">
        <v>89.5</v>
      </c>
      <c r="J14" s="84">
        <v>89.5</v>
      </c>
      <c r="K14" s="85">
        <v>89.5</v>
      </c>
      <c r="L14" s="71" t="s">
        <v>10</v>
      </c>
      <c r="M14" s="21" t="s">
        <v>561</v>
      </c>
      <c r="N14" s="71" t="s">
        <v>20</v>
      </c>
      <c r="O14" s="21" t="s">
        <v>562</v>
      </c>
    </row>
    <row r="15" spans="1:15" ht="15.75" thickBot="1">
      <c r="A15" s="17" t="s">
        <v>734</v>
      </c>
      <c r="B15" s="84">
        <v>0</v>
      </c>
      <c r="C15" s="85">
        <v>453</v>
      </c>
      <c r="D15" s="84">
        <v>453</v>
      </c>
      <c r="E15" s="85">
        <v>453</v>
      </c>
      <c r="F15" s="84">
        <v>453</v>
      </c>
      <c r="G15" s="85">
        <v>453</v>
      </c>
      <c r="H15" s="84">
        <v>453</v>
      </c>
      <c r="I15" s="85">
        <v>453</v>
      </c>
      <c r="J15" s="84">
        <v>453</v>
      </c>
      <c r="K15" s="85">
        <v>453</v>
      </c>
      <c r="L15" s="71" t="s">
        <v>14</v>
      </c>
      <c r="M15" s="21" t="s">
        <v>13</v>
      </c>
      <c r="N15" s="71" t="s">
        <v>20</v>
      </c>
      <c r="O15" s="21" t="s">
        <v>562</v>
      </c>
    </row>
    <row r="16" spans="1:15" ht="15.75" thickBot="1">
      <c r="A16" s="17" t="s">
        <v>56</v>
      </c>
      <c r="B16" s="84">
        <v>580</v>
      </c>
      <c r="C16" s="85">
        <v>580</v>
      </c>
      <c r="D16" s="84">
        <v>580</v>
      </c>
      <c r="E16" s="85">
        <v>580</v>
      </c>
      <c r="F16" s="84">
        <v>580</v>
      </c>
      <c r="G16" s="85">
        <v>580</v>
      </c>
      <c r="H16" s="84">
        <v>580</v>
      </c>
      <c r="I16" s="85">
        <v>580</v>
      </c>
      <c r="J16" s="84">
        <v>580</v>
      </c>
      <c r="K16" s="85">
        <v>580</v>
      </c>
      <c r="L16" s="71" t="s">
        <v>10</v>
      </c>
      <c r="M16" s="21" t="s">
        <v>561</v>
      </c>
      <c r="N16" s="71" t="s">
        <v>20</v>
      </c>
      <c r="O16" s="21" t="s">
        <v>562</v>
      </c>
    </row>
    <row r="17" spans="1:15" ht="23.25" thickBot="1">
      <c r="A17" s="17" t="s">
        <v>104</v>
      </c>
      <c r="B17" s="84">
        <v>108.5</v>
      </c>
      <c r="C17" s="85">
        <v>108.5</v>
      </c>
      <c r="D17" s="84">
        <v>108.5</v>
      </c>
      <c r="E17" s="85">
        <v>108.5</v>
      </c>
      <c r="F17" s="84">
        <v>108.5</v>
      </c>
      <c r="G17" s="85">
        <v>108.5</v>
      </c>
      <c r="H17" s="84">
        <v>108.5</v>
      </c>
      <c r="I17" s="85">
        <v>108.5</v>
      </c>
      <c r="J17" s="84">
        <v>108.5</v>
      </c>
      <c r="K17" s="85">
        <v>108.5</v>
      </c>
      <c r="L17" s="71" t="s">
        <v>14</v>
      </c>
      <c r="M17" s="21" t="s">
        <v>40</v>
      </c>
      <c r="N17" s="71" t="s">
        <v>20</v>
      </c>
      <c r="O17" s="21" t="s">
        <v>562</v>
      </c>
    </row>
    <row r="18" spans="1:15" ht="15.75" thickBot="1">
      <c r="A18" s="17" t="s">
        <v>105</v>
      </c>
      <c r="B18" s="84">
        <v>150</v>
      </c>
      <c r="C18" s="85">
        <v>150</v>
      </c>
      <c r="D18" s="84">
        <v>150</v>
      </c>
      <c r="E18" s="85">
        <v>150</v>
      </c>
      <c r="F18" s="84">
        <v>150</v>
      </c>
      <c r="G18" s="85">
        <v>150</v>
      </c>
      <c r="H18" s="84">
        <v>150</v>
      </c>
      <c r="I18" s="85">
        <v>150</v>
      </c>
      <c r="J18" s="84">
        <v>150</v>
      </c>
      <c r="K18" s="85">
        <v>150</v>
      </c>
      <c r="L18" s="71" t="s">
        <v>14</v>
      </c>
      <c r="M18" s="21" t="s">
        <v>40</v>
      </c>
      <c r="N18" s="71" t="s">
        <v>20</v>
      </c>
      <c r="O18" s="21" t="s">
        <v>562</v>
      </c>
    </row>
    <row r="19" spans="1:15" ht="15.75" thickBot="1">
      <c r="A19" s="17" t="s">
        <v>320</v>
      </c>
      <c r="B19" s="84">
        <v>72</v>
      </c>
      <c r="C19" s="85">
        <v>72</v>
      </c>
      <c r="D19" s="84">
        <v>72</v>
      </c>
      <c r="E19" s="85">
        <v>72</v>
      </c>
      <c r="F19" s="84">
        <v>72</v>
      </c>
      <c r="G19" s="85">
        <v>72</v>
      </c>
      <c r="H19" s="84">
        <v>72</v>
      </c>
      <c r="I19" s="85">
        <v>72</v>
      </c>
      <c r="J19" s="84">
        <v>72</v>
      </c>
      <c r="K19" s="85">
        <v>72</v>
      </c>
      <c r="L19" s="71" t="s">
        <v>14</v>
      </c>
      <c r="M19" s="21" t="s">
        <v>40</v>
      </c>
      <c r="N19" s="71" t="s">
        <v>20</v>
      </c>
      <c r="O19" s="21" t="s">
        <v>562</v>
      </c>
    </row>
    <row r="20" spans="1:15" ht="15.75" thickBot="1">
      <c r="A20" s="17" t="s">
        <v>59</v>
      </c>
      <c r="B20" s="84">
        <v>1680</v>
      </c>
      <c r="C20" s="85">
        <v>1680</v>
      </c>
      <c r="D20" s="84">
        <v>1680</v>
      </c>
      <c r="E20" s="85">
        <v>1680</v>
      </c>
      <c r="F20" s="84">
        <v>1680</v>
      </c>
      <c r="G20" s="85">
        <v>1680</v>
      </c>
      <c r="H20" s="84">
        <v>1680</v>
      </c>
      <c r="I20" s="85">
        <v>1680</v>
      </c>
      <c r="J20" s="84">
        <v>1680</v>
      </c>
      <c r="K20" s="85">
        <v>1680</v>
      </c>
      <c r="L20" s="71" t="s">
        <v>10</v>
      </c>
      <c r="M20" s="21" t="s">
        <v>561</v>
      </c>
      <c r="N20" s="71" t="s">
        <v>20</v>
      </c>
      <c r="O20" s="21" t="s">
        <v>562</v>
      </c>
    </row>
    <row r="21" spans="1:15" ht="15.75" thickBot="1">
      <c r="A21" s="17" t="s">
        <v>338</v>
      </c>
      <c r="B21" s="84">
        <v>57.5</v>
      </c>
      <c r="C21" s="85">
        <v>57.5</v>
      </c>
      <c r="D21" s="84">
        <v>57.5</v>
      </c>
      <c r="E21" s="85">
        <v>57.5</v>
      </c>
      <c r="F21" s="84">
        <v>57.5</v>
      </c>
      <c r="G21" s="85">
        <v>57.5</v>
      </c>
      <c r="H21" s="84">
        <v>57.5</v>
      </c>
      <c r="I21" s="85">
        <v>57.5</v>
      </c>
      <c r="J21" s="84">
        <v>57.5</v>
      </c>
      <c r="K21" s="85">
        <v>57.5</v>
      </c>
      <c r="L21" s="71" t="s">
        <v>14</v>
      </c>
      <c r="M21" s="21" t="s">
        <v>40</v>
      </c>
      <c r="N21" s="71" t="s">
        <v>20</v>
      </c>
      <c r="O21" s="21" t="s">
        <v>562</v>
      </c>
    </row>
    <row r="22" spans="1:15" ht="15.75" thickBot="1">
      <c r="A22" s="17" t="s">
        <v>107</v>
      </c>
      <c r="B22" s="84">
        <v>100</v>
      </c>
      <c r="C22" s="85">
        <v>100</v>
      </c>
      <c r="D22" s="84">
        <v>100</v>
      </c>
      <c r="E22" s="85">
        <v>100</v>
      </c>
      <c r="F22" s="84">
        <v>100</v>
      </c>
      <c r="G22" s="85">
        <v>100</v>
      </c>
      <c r="H22" s="84">
        <v>100</v>
      </c>
      <c r="I22" s="85">
        <v>100</v>
      </c>
      <c r="J22" s="84">
        <v>100</v>
      </c>
      <c r="K22" s="85">
        <v>100</v>
      </c>
      <c r="L22" s="71" t="s">
        <v>14</v>
      </c>
      <c r="M22" s="21" t="s">
        <v>40</v>
      </c>
      <c r="N22" s="71" t="s">
        <v>20</v>
      </c>
      <c r="O22" s="21" t="s">
        <v>562</v>
      </c>
    </row>
    <row r="23" spans="1:15" ht="15.75" thickBot="1">
      <c r="A23" s="17" t="s">
        <v>109</v>
      </c>
      <c r="B23" s="84">
        <v>50</v>
      </c>
      <c r="C23" s="85">
        <v>50</v>
      </c>
      <c r="D23" s="84">
        <v>50</v>
      </c>
      <c r="E23" s="85">
        <v>50</v>
      </c>
      <c r="F23" s="84">
        <v>50</v>
      </c>
      <c r="G23" s="85">
        <v>50</v>
      </c>
      <c r="H23" s="84">
        <v>50</v>
      </c>
      <c r="I23" s="85">
        <v>50</v>
      </c>
      <c r="J23" s="84">
        <v>50</v>
      </c>
      <c r="K23" s="85">
        <v>50</v>
      </c>
      <c r="L23" s="71" t="s">
        <v>14</v>
      </c>
      <c r="M23" s="21" t="s">
        <v>40</v>
      </c>
      <c r="N23" s="71" t="s">
        <v>20</v>
      </c>
      <c r="O23" s="21" t="s">
        <v>562</v>
      </c>
    </row>
    <row r="24" spans="1:15" ht="15.75" thickBot="1">
      <c r="A24" s="17" t="s">
        <v>62</v>
      </c>
      <c r="B24" s="84">
        <v>86.4</v>
      </c>
      <c r="C24" s="85">
        <v>86.4</v>
      </c>
      <c r="D24" s="84">
        <v>86.4</v>
      </c>
      <c r="E24" s="85">
        <v>86.4</v>
      </c>
      <c r="F24" s="84">
        <v>86.4</v>
      </c>
      <c r="G24" s="85">
        <v>86.4</v>
      </c>
      <c r="H24" s="84">
        <v>86.4</v>
      </c>
      <c r="I24" s="85">
        <v>86.4</v>
      </c>
      <c r="J24" s="84">
        <v>86.4</v>
      </c>
      <c r="K24" s="85">
        <v>86.4</v>
      </c>
      <c r="L24" s="71" t="s">
        <v>10</v>
      </c>
      <c r="M24" s="21" t="s">
        <v>563</v>
      </c>
      <c r="N24" s="71" t="s">
        <v>20</v>
      </c>
      <c r="O24" s="21" t="s">
        <v>562</v>
      </c>
    </row>
    <row r="25" spans="1:15" ht="23.25" thickBot="1">
      <c r="A25" s="17" t="s">
        <v>110</v>
      </c>
      <c r="B25" s="84">
        <v>0</v>
      </c>
      <c r="C25" s="85">
        <v>15</v>
      </c>
      <c r="D25" s="84">
        <v>15</v>
      </c>
      <c r="E25" s="85">
        <v>15</v>
      </c>
      <c r="F25" s="84">
        <v>15</v>
      </c>
      <c r="G25" s="85">
        <v>15</v>
      </c>
      <c r="H25" s="84">
        <v>15</v>
      </c>
      <c r="I25" s="85">
        <v>15</v>
      </c>
      <c r="J25" s="84">
        <v>15</v>
      </c>
      <c r="K25" s="85">
        <v>15</v>
      </c>
      <c r="L25" s="71" t="s">
        <v>14</v>
      </c>
      <c r="M25" s="21" t="s">
        <v>40</v>
      </c>
      <c r="N25" s="71" t="s">
        <v>20</v>
      </c>
      <c r="O25" s="21" t="s">
        <v>562</v>
      </c>
    </row>
    <row r="26" spans="1:15" ht="23.25" thickBot="1">
      <c r="A26" s="17" t="s">
        <v>111</v>
      </c>
      <c r="B26" s="84">
        <v>0</v>
      </c>
      <c r="C26" s="85">
        <v>2</v>
      </c>
      <c r="D26" s="84">
        <v>2</v>
      </c>
      <c r="E26" s="85">
        <v>2</v>
      </c>
      <c r="F26" s="84">
        <v>2</v>
      </c>
      <c r="G26" s="85">
        <v>2</v>
      </c>
      <c r="H26" s="84">
        <v>2</v>
      </c>
      <c r="I26" s="85">
        <v>2</v>
      </c>
      <c r="J26" s="84">
        <v>2</v>
      </c>
      <c r="K26" s="85">
        <v>2</v>
      </c>
      <c r="L26" s="71" t="s">
        <v>14</v>
      </c>
      <c r="M26" s="21" t="s">
        <v>730</v>
      </c>
      <c r="N26" s="71" t="s">
        <v>20</v>
      </c>
      <c r="O26" s="21" t="s">
        <v>562</v>
      </c>
    </row>
    <row r="27" spans="1:15" ht="23.25" thickBot="1">
      <c r="A27" s="17" t="s">
        <v>112</v>
      </c>
      <c r="B27" s="84">
        <v>0</v>
      </c>
      <c r="C27" s="85">
        <v>43.2</v>
      </c>
      <c r="D27" s="84">
        <v>43.2</v>
      </c>
      <c r="E27" s="85">
        <v>43.2</v>
      </c>
      <c r="F27" s="84">
        <v>43.2</v>
      </c>
      <c r="G27" s="85">
        <v>43.2</v>
      </c>
      <c r="H27" s="84">
        <v>43.2</v>
      </c>
      <c r="I27" s="85">
        <v>43.2</v>
      </c>
      <c r="J27" s="84">
        <v>43.2</v>
      </c>
      <c r="K27" s="85">
        <v>43.2</v>
      </c>
      <c r="L27" s="71" t="s">
        <v>14</v>
      </c>
      <c r="M27" s="21" t="s">
        <v>13</v>
      </c>
      <c r="N27" s="71" t="s">
        <v>20</v>
      </c>
      <c r="O27" s="21" t="s">
        <v>562</v>
      </c>
    </row>
    <row r="28" spans="1:15" ht="23.25" thickBot="1">
      <c r="A28" s="17" t="s">
        <v>64</v>
      </c>
      <c r="B28" s="84">
        <v>48.5</v>
      </c>
      <c r="C28" s="85">
        <v>48.5</v>
      </c>
      <c r="D28" s="84">
        <v>48.5</v>
      </c>
      <c r="E28" s="85">
        <v>48.5</v>
      </c>
      <c r="F28" s="84">
        <v>48.5</v>
      </c>
      <c r="G28" s="85">
        <v>48.5</v>
      </c>
      <c r="H28" s="84">
        <v>48.5</v>
      </c>
      <c r="I28" s="85">
        <v>48.5</v>
      </c>
      <c r="J28" s="84">
        <v>48.5</v>
      </c>
      <c r="K28" s="85">
        <v>48.5</v>
      </c>
      <c r="L28" s="71" t="s">
        <v>14</v>
      </c>
      <c r="M28" s="21" t="s">
        <v>40</v>
      </c>
      <c r="N28" s="71" t="s">
        <v>20</v>
      </c>
      <c r="O28" s="21" t="s">
        <v>562</v>
      </c>
    </row>
    <row r="29" spans="1:15" ht="15.75" thickBot="1">
      <c r="A29" s="17" t="s">
        <v>67</v>
      </c>
      <c r="B29" s="84">
        <v>713</v>
      </c>
      <c r="C29" s="85">
        <v>713</v>
      </c>
      <c r="D29" s="84">
        <v>713</v>
      </c>
      <c r="E29" s="85">
        <v>713</v>
      </c>
      <c r="F29" s="84">
        <v>713</v>
      </c>
      <c r="G29" s="85">
        <v>713</v>
      </c>
      <c r="H29" s="84">
        <v>713</v>
      </c>
      <c r="I29" s="85">
        <v>713</v>
      </c>
      <c r="J29" s="84">
        <v>713</v>
      </c>
      <c r="K29" s="85">
        <v>713</v>
      </c>
      <c r="L29" s="71" t="s">
        <v>10</v>
      </c>
      <c r="M29" s="21" t="s">
        <v>561</v>
      </c>
      <c r="N29" s="71" t="s">
        <v>20</v>
      </c>
      <c r="O29" s="21" t="s">
        <v>562</v>
      </c>
    </row>
    <row r="30" spans="1:15" ht="15.75" thickBot="1">
      <c r="A30" s="17" t="s">
        <v>114</v>
      </c>
      <c r="B30" s="84">
        <v>100</v>
      </c>
      <c r="C30" s="85">
        <v>99.3</v>
      </c>
      <c r="D30" s="84">
        <v>98.6</v>
      </c>
      <c r="E30" s="85">
        <v>97.9</v>
      </c>
      <c r="F30" s="84">
        <v>97.2</v>
      </c>
      <c r="G30" s="85">
        <v>96.5</v>
      </c>
      <c r="H30" s="84">
        <v>95.9</v>
      </c>
      <c r="I30" s="85">
        <v>95.2</v>
      </c>
      <c r="J30" s="84">
        <v>94.5</v>
      </c>
      <c r="K30" s="85">
        <v>93.9</v>
      </c>
      <c r="L30" s="71" t="s">
        <v>14</v>
      </c>
      <c r="M30" s="21" t="s">
        <v>40</v>
      </c>
      <c r="N30" s="71" t="s">
        <v>20</v>
      </c>
      <c r="O30" s="21" t="s">
        <v>562</v>
      </c>
    </row>
    <row r="31" spans="1:15" ht="15.75" thickBot="1">
      <c r="A31" s="17" t="s">
        <v>71</v>
      </c>
      <c r="B31" s="84">
        <v>34</v>
      </c>
      <c r="C31" s="85">
        <v>34</v>
      </c>
      <c r="D31" s="84">
        <v>34</v>
      </c>
      <c r="E31" s="85">
        <v>0</v>
      </c>
      <c r="F31" s="84">
        <v>0</v>
      </c>
      <c r="G31" s="85">
        <v>0</v>
      </c>
      <c r="H31" s="84">
        <v>0</v>
      </c>
      <c r="I31" s="85">
        <v>0</v>
      </c>
      <c r="J31" s="84">
        <v>0</v>
      </c>
      <c r="K31" s="85">
        <v>0</v>
      </c>
      <c r="L31" s="71" t="s">
        <v>10</v>
      </c>
      <c r="M31" s="21" t="s">
        <v>561</v>
      </c>
      <c r="N31" s="71" t="s">
        <v>20</v>
      </c>
      <c r="O31" s="21" t="s">
        <v>562</v>
      </c>
    </row>
    <row r="32" spans="1:15" ht="15.75" thickBot="1">
      <c r="A32" s="17" t="s">
        <v>73</v>
      </c>
      <c r="B32" s="84">
        <v>612</v>
      </c>
      <c r="C32" s="85">
        <v>612</v>
      </c>
      <c r="D32" s="84">
        <v>612</v>
      </c>
      <c r="E32" s="85">
        <v>612</v>
      </c>
      <c r="F32" s="84">
        <v>612</v>
      </c>
      <c r="G32" s="85">
        <v>612</v>
      </c>
      <c r="H32" s="84">
        <v>612</v>
      </c>
      <c r="I32" s="85">
        <v>612</v>
      </c>
      <c r="J32" s="84">
        <v>612</v>
      </c>
      <c r="K32" s="85">
        <v>612</v>
      </c>
      <c r="L32" s="71" t="s">
        <v>10</v>
      </c>
      <c r="M32" s="21" t="s">
        <v>561</v>
      </c>
      <c r="N32" s="71" t="s">
        <v>20</v>
      </c>
      <c r="O32" s="21" t="s">
        <v>562</v>
      </c>
    </row>
    <row r="33" spans="1:15" ht="15.75" thickBot="1">
      <c r="A33" s="17" t="s">
        <v>116</v>
      </c>
      <c r="B33" s="84">
        <v>180.45</v>
      </c>
      <c r="C33" s="85">
        <v>180.45</v>
      </c>
      <c r="D33" s="84">
        <v>180.45</v>
      </c>
      <c r="E33" s="85">
        <v>180.45</v>
      </c>
      <c r="F33" s="84">
        <v>180.45</v>
      </c>
      <c r="G33" s="85">
        <v>180.45</v>
      </c>
      <c r="H33" s="84">
        <v>180.45</v>
      </c>
      <c r="I33" s="85">
        <v>180.45</v>
      </c>
      <c r="J33" s="84">
        <v>180.45</v>
      </c>
      <c r="K33" s="85">
        <v>180.45</v>
      </c>
      <c r="L33" s="71" t="s">
        <v>14</v>
      </c>
      <c r="M33" s="21" t="s">
        <v>13</v>
      </c>
      <c r="N33" s="71" t="s">
        <v>20</v>
      </c>
      <c r="O33" s="21" t="s">
        <v>562</v>
      </c>
    </row>
    <row r="34" spans="1:15" ht="15.75" thickBot="1">
      <c r="A34" s="17" t="s">
        <v>76</v>
      </c>
      <c r="B34" s="84">
        <v>400</v>
      </c>
      <c r="C34" s="85">
        <v>400</v>
      </c>
      <c r="D34" s="84">
        <v>400</v>
      </c>
      <c r="E34" s="85">
        <v>400</v>
      </c>
      <c r="F34" s="84">
        <v>400</v>
      </c>
      <c r="G34" s="85">
        <v>400</v>
      </c>
      <c r="H34" s="84">
        <v>400</v>
      </c>
      <c r="I34" s="85">
        <v>400</v>
      </c>
      <c r="J34" s="84">
        <v>400</v>
      </c>
      <c r="K34" s="85">
        <v>400</v>
      </c>
      <c r="L34" s="71" t="s">
        <v>10</v>
      </c>
      <c r="M34" s="21" t="s">
        <v>561</v>
      </c>
      <c r="N34" s="71" t="s">
        <v>20</v>
      </c>
      <c r="O34" s="21" t="s">
        <v>562</v>
      </c>
    </row>
    <row r="35" spans="1:15" ht="15.75" thickBot="1">
      <c r="A35" s="17" t="s">
        <v>118</v>
      </c>
      <c r="B35" s="84">
        <v>0</v>
      </c>
      <c r="C35" s="85">
        <v>55</v>
      </c>
      <c r="D35" s="84">
        <v>55</v>
      </c>
      <c r="E35" s="85">
        <v>55</v>
      </c>
      <c r="F35" s="84">
        <v>55</v>
      </c>
      <c r="G35" s="85">
        <v>55</v>
      </c>
      <c r="H35" s="84">
        <v>55</v>
      </c>
      <c r="I35" s="85">
        <v>55</v>
      </c>
      <c r="J35" s="84">
        <v>55</v>
      </c>
      <c r="K35" s="85">
        <v>55</v>
      </c>
      <c r="L35" s="71" t="s">
        <v>14</v>
      </c>
      <c r="M35" s="21" t="s">
        <v>40</v>
      </c>
      <c r="N35" s="71" t="s">
        <v>20</v>
      </c>
      <c r="O35" s="21" t="s">
        <v>562</v>
      </c>
    </row>
    <row r="36" spans="1:15" ht="15.75" thickBot="1">
      <c r="A36" s="17" t="s">
        <v>78</v>
      </c>
      <c r="B36" s="84">
        <v>282</v>
      </c>
      <c r="C36" s="85">
        <v>282</v>
      </c>
      <c r="D36" s="84">
        <v>282</v>
      </c>
      <c r="E36" s="85">
        <v>282</v>
      </c>
      <c r="F36" s="84">
        <v>282</v>
      </c>
      <c r="G36" s="85">
        <v>282</v>
      </c>
      <c r="H36" s="84">
        <v>282</v>
      </c>
      <c r="I36" s="85">
        <v>282</v>
      </c>
      <c r="J36" s="84">
        <v>282</v>
      </c>
      <c r="K36" s="85">
        <v>282</v>
      </c>
      <c r="L36" s="71" t="s">
        <v>10</v>
      </c>
      <c r="M36" s="21" t="s">
        <v>561</v>
      </c>
      <c r="N36" s="71" t="s">
        <v>20</v>
      </c>
      <c r="O36" s="21" t="s">
        <v>562</v>
      </c>
    </row>
    <row r="37" spans="1:15" ht="15.75" thickBot="1">
      <c r="A37" s="17" t="s">
        <v>120</v>
      </c>
      <c r="B37" s="84">
        <v>0</v>
      </c>
      <c r="C37" s="85">
        <v>25</v>
      </c>
      <c r="D37" s="84">
        <v>25</v>
      </c>
      <c r="E37" s="85">
        <v>25</v>
      </c>
      <c r="F37" s="84">
        <v>25</v>
      </c>
      <c r="G37" s="85">
        <v>25</v>
      </c>
      <c r="H37" s="84">
        <v>25</v>
      </c>
      <c r="I37" s="85">
        <v>25</v>
      </c>
      <c r="J37" s="84">
        <v>25</v>
      </c>
      <c r="K37" s="85">
        <v>25</v>
      </c>
      <c r="L37" s="71" t="s">
        <v>14</v>
      </c>
      <c r="M37" s="21" t="s">
        <v>40</v>
      </c>
      <c r="N37" s="71" t="s">
        <v>20</v>
      </c>
      <c r="O37" s="21" t="s">
        <v>562</v>
      </c>
    </row>
    <row r="38" spans="1:15" ht="15.75" thickBot="1">
      <c r="A38" s="17" t="s">
        <v>81</v>
      </c>
      <c r="B38" s="84">
        <v>54</v>
      </c>
      <c r="C38" s="85">
        <v>54</v>
      </c>
      <c r="D38" s="84">
        <v>54</v>
      </c>
      <c r="E38" s="85">
        <v>54</v>
      </c>
      <c r="F38" s="84">
        <v>54</v>
      </c>
      <c r="G38" s="85">
        <v>54</v>
      </c>
      <c r="H38" s="84">
        <v>54</v>
      </c>
      <c r="I38" s="85">
        <v>54</v>
      </c>
      <c r="J38" s="84">
        <v>54</v>
      </c>
      <c r="K38" s="85">
        <v>54</v>
      </c>
      <c r="L38" s="71" t="s">
        <v>10</v>
      </c>
      <c r="M38" s="21" t="s">
        <v>561</v>
      </c>
      <c r="N38" s="71" t="s">
        <v>20</v>
      </c>
      <c r="O38" s="21" t="s">
        <v>562</v>
      </c>
    </row>
    <row r="39" spans="1:15" ht="15.75" thickBot="1">
      <c r="A39" s="17" t="s">
        <v>122</v>
      </c>
      <c r="B39" s="84">
        <v>116</v>
      </c>
      <c r="C39" s="85">
        <v>116</v>
      </c>
      <c r="D39" s="84">
        <v>116</v>
      </c>
      <c r="E39" s="85">
        <v>116</v>
      </c>
      <c r="F39" s="84">
        <v>116</v>
      </c>
      <c r="G39" s="85">
        <v>116</v>
      </c>
      <c r="H39" s="84">
        <v>116</v>
      </c>
      <c r="I39" s="85">
        <v>116</v>
      </c>
      <c r="J39" s="84">
        <v>116</v>
      </c>
      <c r="K39" s="85">
        <v>116</v>
      </c>
      <c r="L39" s="71" t="s">
        <v>14</v>
      </c>
      <c r="M39" s="21" t="s">
        <v>40</v>
      </c>
      <c r="N39" s="71" t="s">
        <v>20</v>
      </c>
      <c r="O39" s="21" t="s">
        <v>562</v>
      </c>
    </row>
    <row r="40" spans="1:15" ht="15.75" thickBot="1">
      <c r="A40" s="17" t="s">
        <v>398</v>
      </c>
      <c r="B40" s="84">
        <v>65</v>
      </c>
      <c r="C40" s="85">
        <v>65</v>
      </c>
      <c r="D40" s="84">
        <v>65</v>
      </c>
      <c r="E40" s="85">
        <v>65</v>
      </c>
      <c r="F40" s="84">
        <v>65</v>
      </c>
      <c r="G40" s="85">
        <v>65</v>
      </c>
      <c r="H40" s="84">
        <v>65</v>
      </c>
      <c r="I40" s="85">
        <v>65</v>
      </c>
      <c r="J40" s="84">
        <v>65</v>
      </c>
      <c r="K40" s="85">
        <v>65</v>
      </c>
      <c r="L40" s="71" t="s">
        <v>14</v>
      </c>
      <c r="M40" s="21" t="s">
        <v>40</v>
      </c>
      <c r="N40" s="71" t="s">
        <v>20</v>
      </c>
      <c r="O40" s="21" t="s">
        <v>562</v>
      </c>
    </row>
    <row r="41" spans="1:15" ht="15.75" thickBot="1">
      <c r="A41" s="17" t="s">
        <v>82</v>
      </c>
      <c r="B41" s="84">
        <v>1460</v>
      </c>
      <c r="C41" s="85">
        <v>1460</v>
      </c>
      <c r="D41" s="84">
        <v>1460</v>
      </c>
      <c r="E41" s="85">
        <v>1460</v>
      </c>
      <c r="F41" s="84">
        <v>1460</v>
      </c>
      <c r="G41" s="85">
        <v>1460</v>
      </c>
      <c r="H41" s="84">
        <v>1460</v>
      </c>
      <c r="I41" s="85">
        <v>1460</v>
      </c>
      <c r="J41" s="84">
        <v>1460</v>
      </c>
      <c r="K41" s="85">
        <v>1460</v>
      </c>
      <c r="L41" s="71" t="s">
        <v>10</v>
      </c>
      <c r="M41" s="21" t="s">
        <v>561</v>
      </c>
      <c r="N41" s="71" t="s">
        <v>20</v>
      </c>
      <c r="O41" s="21" t="s">
        <v>562</v>
      </c>
    </row>
    <row r="42" spans="1:15" ht="23.25" thickBot="1">
      <c r="A42" s="17" t="s">
        <v>193</v>
      </c>
      <c r="B42" s="84">
        <v>124</v>
      </c>
      <c r="C42" s="85">
        <v>124</v>
      </c>
      <c r="D42" s="84">
        <v>124</v>
      </c>
      <c r="E42" s="85">
        <v>124</v>
      </c>
      <c r="F42" s="84">
        <v>124</v>
      </c>
      <c r="G42" s="85">
        <v>124</v>
      </c>
      <c r="H42" s="84">
        <v>124</v>
      </c>
      <c r="I42" s="85">
        <v>124</v>
      </c>
      <c r="J42" s="84">
        <v>124</v>
      </c>
      <c r="K42" s="85">
        <v>124</v>
      </c>
      <c r="L42" s="71" t="s">
        <v>14</v>
      </c>
      <c r="M42" s="21" t="s">
        <v>40</v>
      </c>
      <c r="N42" s="71" t="s">
        <v>20</v>
      </c>
      <c r="O42" s="21" t="s">
        <v>562</v>
      </c>
    </row>
    <row r="43" spans="1:15" ht="15.75" thickBot="1">
      <c r="A43" s="17" t="s">
        <v>402</v>
      </c>
      <c r="B43" s="84">
        <v>75</v>
      </c>
      <c r="C43" s="85">
        <v>75</v>
      </c>
      <c r="D43" s="84">
        <v>75</v>
      </c>
      <c r="E43" s="85">
        <v>75</v>
      </c>
      <c r="F43" s="84">
        <v>75</v>
      </c>
      <c r="G43" s="85">
        <v>75</v>
      </c>
      <c r="H43" s="84">
        <v>75</v>
      </c>
      <c r="I43" s="85">
        <v>75</v>
      </c>
      <c r="J43" s="84">
        <v>75</v>
      </c>
      <c r="K43" s="85">
        <v>75</v>
      </c>
      <c r="L43" s="71" t="s">
        <v>14</v>
      </c>
      <c r="M43" s="21" t="s">
        <v>40</v>
      </c>
      <c r="N43" s="71" t="s">
        <v>20</v>
      </c>
      <c r="O43" s="21" t="s">
        <v>562</v>
      </c>
    </row>
    <row r="44" spans="1:15" ht="15.75" thickBot="1">
      <c r="A44" s="17" t="s">
        <v>84</v>
      </c>
      <c r="B44" s="84">
        <v>350</v>
      </c>
      <c r="C44" s="85">
        <v>350</v>
      </c>
      <c r="D44" s="84">
        <v>350</v>
      </c>
      <c r="E44" s="85">
        <v>350</v>
      </c>
      <c r="F44" s="84">
        <v>350</v>
      </c>
      <c r="G44" s="85">
        <v>350</v>
      </c>
      <c r="H44" s="84">
        <v>350</v>
      </c>
      <c r="I44" s="85">
        <v>350</v>
      </c>
      <c r="J44" s="84">
        <v>350</v>
      </c>
      <c r="K44" s="85">
        <v>350</v>
      </c>
      <c r="L44" s="71" t="s">
        <v>10</v>
      </c>
      <c r="M44" s="21" t="s">
        <v>561</v>
      </c>
      <c r="N44" s="71" t="s">
        <v>20</v>
      </c>
      <c r="O44" s="21" t="s">
        <v>562</v>
      </c>
    </row>
    <row r="45" spans="1:15" ht="15.75" thickBot="1">
      <c r="A45" s="17" t="s">
        <v>87</v>
      </c>
      <c r="B45" s="84">
        <v>1400</v>
      </c>
      <c r="C45" s="85">
        <v>1400</v>
      </c>
      <c r="D45" s="84">
        <v>1400</v>
      </c>
      <c r="E45" s="85">
        <v>1400</v>
      </c>
      <c r="F45" s="84">
        <v>1400</v>
      </c>
      <c r="G45" s="85">
        <v>1400</v>
      </c>
      <c r="H45" s="84">
        <v>1400</v>
      </c>
      <c r="I45" s="85">
        <v>1400</v>
      </c>
      <c r="J45" s="84">
        <v>1400</v>
      </c>
      <c r="K45" s="85">
        <v>1400</v>
      </c>
      <c r="L45" s="71" t="s">
        <v>10</v>
      </c>
      <c r="M45" s="21" t="s">
        <v>561</v>
      </c>
      <c r="N45" s="71" t="s">
        <v>20</v>
      </c>
      <c r="O45" s="21" t="s">
        <v>562</v>
      </c>
    </row>
    <row r="46" spans="1:15" ht="15.75" thickBot="1">
      <c r="A46" s="17" t="s">
        <v>89</v>
      </c>
      <c r="B46" s="84">
        <v>443</v>
      </c>
      <c r="C46" s="85">
        <v>443</v>
      </c>
      <c r="D46" s="84">
        <v>443</v>
      </c>
      <c r="E46" s="85">
        <v>443</v>
      </c>
      <c r="F46" s="84">
        <v>443</v>
      </c>
      <c r="G46" s="85">
        <v>443</v>
      </c>
      <c r="H46" s="84">
        <v>443</v>
      </c>
      <c r="I46" s="85">
        <v>443</v>
      </c>
      <c r="J46" s="84">
        <v>443</v>
      </c>
      <c r="K46" s="85">
        <v>443</v>
      </c>
      <c r="L46" s="71" t="s">
        <v>10</v>
      </c>
      <c r="M46" s="21" t="s">
        <v>561</v>
      </c>
      <c r="N46" s="71" t="s">
        <v>20</v>
      </c>
      <c r="O46" s="21" t="s">
        <v>562</v>
      </c>
    </row>
    <row r="47" spans="1:15" ht="15.75" thickBot="1">
      <c r="A47" s="17" t="s">
        <v>406</v>
      </c>
      <c r="B47" s="84">
        <v>0</v>
      </c>
      <c r="C47" s="85">
        <v>52.5</v>
      </c>
      <c r="D47" s="84">
        <v>52.5</v>
      </c>
      <c r="E47" s="85">
        <v>52.5</v>
      </c>
      <c r="F47" s="84">
        <v>52.5</v>
      </c>
      <c r="G47" s="85">
        <v>52.5</v>
      </c>
      <c r="H47" s="84">
        <v>52.5</v>
      </c>
      <c r="I47" s="85">
        <v>52.5</v>
      </c>
      <c r="J47" s="84">
        <v>52.5</v>
      </c>
      <c r="K47" s="85">
        <v>52.5</v>
      </c>
      <c r="L47" s="71" t="s">
        <v>14</v>
      </c>
      <c r="M47" s="21" t="s">
        <v>40</v>
      </c>
      <c r="N47" s="71" t="s">
        <v>20</v>
      </c>
      <c r="O47" s="21" t="s">
        <v>562</v>
      </c>
    </row>
    <row r="48" spans="1:15" ht="15.75" thickBot="1">
      <c r="A48" s="17" t="s">
        <v>91</v>
      </c>
      <c r="B48" s="84">
        <v>233</v>
      </c>
      <c r="C48" s="85">
        <v>233</v>
      </c>
      <c r="D48" s="84">
        <v>233</v>
      </c>
      <c r="E48" s="85">
        <v>233</v>
      </c>
      <c r="F48" s="84">
        <v>232</v>
      </c>
      <c r="G48" s="85">
        <v>232</v>
      </c>
      <c r="H48" s="84">
        <v>231</v>
      </c>
      <c r="I48" s="85">
        <v>231</v>
      </c>
      <c r="J48" s="84">
        <v>231</v>
      </c>
      <c r="K48" s="85">
        <v>231</v>
      </c>
      <c r="L48" s="71" t="s">
        <v>10</v>
      </c>
      <c r="M48" s="21" t="s">
        <v>561</v>
      </c>
      <c r="N48" s="71" t="s">
        <v>20</v>
      </c>
      <c r="O48" s="21" t="s">
        <v>562</v>
      </c>
    </row>
    <row r="49" spans="1:15" s="78" customFormat="1" ht="15.75" thickBot="1">
      <c r="A49" s="17" t="s">
        <v>748</v>
      </c>
      <c r="B49" s="84">
        <v>0</v>
      </c>
      <c r="C49" s="85">
        <v>0</v>
      </c>
      <c r="D49" s="84">
        <v>64.2</v>
      </c>
      <c r="E49" s="85">
        <v>64.2</v>
      </c>
      <c r="F49" s="84">
        <v>64.2</v>
      </c>
      <c r="G49" s="85">
        <v>64.2</v>
      </c>
      <c r="H49" s="84">
        <v>64.2</v>
      </c>
      <c r="I49" s="85">
        <v>64.2</v>
      </c>
      <c r="J49" s="84">
        <v>64.2</v>
      </c>
      <c r="K49" s="85">
        <v>64.2</v>
      </c>
      <c r="L49" s="71" t="s">
        <v>14</v>
      </c>
      <c r="M49" s="21" t="s">
        <v>40</v>
      </c>
      <c r="N49" s="71" t="s">
        <v>20</v>
      </c>
      <c r="O49" s="21" t="s">
        <v>562</v>
      </c>
    </row>
    <row r="50" spans="1:15" ht="15.75" thickBot="1">
      <c r="A50" s="17" t="s">
        <v>125</v>
      </c>
      <c r="B50" s="84">
        <v>57.5</v>
      </c>
      <c r="C50" s="85">
        <v>57.5</v>
      </c>
      <c r="D50" s="84">
        <v>57.5</v>
      </c>
      <c r="E50" s="85">
        <v>57.5</v>
      </c>
      <c r="F50" s="84">
        <v>57.5</v>
      </c>
      <c r="G50" s="85">
        <v>57.5</v>
      </c>
      <c r="H50" s="84">
        <v>57.5</v>
      </c>
      <c r="I50" s="85">
        <v>57.5</v>
      </c>
      <c r="J50" s="84">
        <v>57.5</v>
      </c>
      <c r="K50" s="85">
        <v>57.5</v>
      </c>
      <c r="L50" s="71" t="s">
        <v>14</v>
      </c>
      <c r="M50" s="21" t="s">
        <v>40</v>
      </c>
      <c r="N50" s="71" t="s">
        <v>20</v>
      </c>
      <c r="O50" s="21" t="s">
        <v>562</v>
      </c>
    </row>
    <row r="51" spans="1:15" s="78" customFormat="1" ht="15.75" thickBot="1">
      <c r="A51" s="17" t="s">
        <v>93</v>
      </c>
      <c r="B51" s="84">
        <v>570</v>
      </c>
      <c r="C51" s="85">
        <v>570</v>
      </c>
      <c r="D51" s="84">
        <v>570</v>
      </c>
      <c r="E51" s="85">
        <v>570</v>
      </c>
      <c r="F51" s="84">
        <v>570</v>
      </c>
      <c r="G51" s="85">
        <v>570</v>
      </c>
      <c r="H51" s="84">
        <v>570</v>
      </c>
      <c r="I51" s="85">
        <v>570</v>
      </c>
      <c r="J51" s="84">
        <v>570</v>
      </c>
      <c r="K51" s="85">
        <v>570</v>
      </c>
      <c r="L51" s="71" t="s">
        <v>10</v>
      </c>
      <c r="M51" s="21" t="s">
        <v>25</v>
      </c>
      <c r="N51" s="71" t="s">
        <v>20</v>
      </c>
      <c r="O51" s="21" t="s">
        <v>562</v>
      </c>
    </row>
    <row r="52" spans="1:15" ht="15.75" thickBot="1">
      <c r="A52" s="17" t="s">
        <v>423</v>
      </c>
      <c r="B52" s="84">
        <v>0</v>
      </c>
      <c r="C52" s="85">
        <v>102.5</v>
      </c>
      <c r="D52" s="84">
        <v>102.5</v>
      </c>
      <c r="E52" s="85">
        <v>102.5</v>
      </c>
      <c r="F52" s="84">
        <v>102.5</v>
      </c>
      <c r="G52" s="85">
        <v>102.5</v>
      </c>
      <c r="H52" s="84">
        <v>102.5</v>
      </c>
      <c r="I52" s="85">
        <v>102.5</v>
      </c>
      <c r="J52" s="84">
        <v>102.5</v>
      </c>
      <c r="K52" s="85">
        <v>102.5</v>
      </c>
      <c r="L52" s="71" t="s">
        <v>14</v>
      </c>
      <c r="M52" s="21" t="s">
        <v>40</v>
      </c>
      <c r="N52" s="71" t="s">
        <v>20</v>
      </c>
      <c r="O52" s="21" t="s">
        <v>562</v>
      </c>
    </row>
    <row r="53" spans="1:15" ht="15.75" thickBot="1">
      <c r="A53" s="78"/>
      <c r="B53" s="86"/>
      <c r="C53" s="86"/>
      <c r="D53" s="86"/>
      <c r="E53" s="86"/>
      <c r="F53" s="86"/>
      <c r="G53" s="86"/>
      <c r="H53" s="86"/>
      <c r="I53" s="86"/>
      <c r="J53" s="86"/>
      <c r="K53" s="86"/>
      <c r="L53" s="78"/>
      <c r="M53" s="78"/>
      <c r="N53" s="78"/>
      <c r="O53" s="78"/>
    </row>
    <row r="54" spans="1:15" ht="42.75" customHeight="1" thickBot="1">
      <c r="A54" s="51" t="s">
        <v>95</v>
      </c>
      <c r="B54" s="87">
        <f>SUM(sumcapsalltable[201819])</f>
        <v>13110.849999999999</v>
      </c>
      <c r="C54" s="87">
        <f>SUM(sumcapsalltable[201920])</f>
        <v>13937.65</v>
      </c>
      <c r="D54" s="87">
        <f>SUM(sumcapsalltable[202021])</f>
        <v>14034.95</v>
      </c>
      <c r="E54" s="87">
        <f>SUM(sumcapsalltable[202122])</f>
        <v>13999.55</v>
      </c>
      <c r="F54" s="87">
        <f>SUM(sumcapsalltable[202223])</f>
        <v>14007.15</v>
      </c>
      <c r="G54" s="87">
        <f>SUM(sumcapsalltable[202324])</f>
        <v>14005.75</v>
      </c>
      <c r="H54" s="87">
        <f>SUM(sumcapsalltable[202425])</f>
        <v>14003.55</v>
      </c>
      <c r="I54" s="87">
        <f>SUM(sumcapsalltable[202526])</f>
        <v>14002.15</v>
      </c>
      <c r="J54" s="87">
        <f>SUM(sumcapsalltable[202627])</f>
        <v>14000.75</v>
      </c>
      <c r="K54" s="87">
        <f>SUM(sumcapsalltable[202728])</f>
        <v>13999.55</v>
      </c>
      <c r="L54" s="50"/>
    </row>
    <row r="55" spans="1:15" ht="50.25" customHeight="1">
      <c r="A55" s="160"/>
      <c r="B55" s="161"/>
      <c r="C55" s="161"/>
      <c r="D55" s="161"/>
      <c r="E55" s="161"/>
      <c r="F55" s="161"/>
      <c r="G55" s="161"/>
      <c r="H55" s="161"/>
      <c r="I55" s="161"/>
      <c r="J55" s="161"/>
      <c r="K55" s="161"/>
      <c r="L55" s="161"/>
      <c r="M55" s="78"/>
      <c r="N55" s="78"/>
      <c r="O55" s="78"/>
    </row>
    <row r="56" spans="1:15">
      <c r="A56" s="160" t="s">
        <v>564</v>
      </c>
      <c r="B56" s="161"/>
      <c r="C56" s="161"/>
      <c r="D56" s="161"/>
      <c r="E56" s="161"/>
      <c r="F56" s="161"/>
      <c r="G56" s="161"/>
      <c r="H56" s="161"/>
      <c r="I56" s="161"/>
      <c r="J56" s="161"/>
      <c r="K56" s="161"/>
      <c r="L56" s="161"/>
    </row>
    <row r="57" spans="1:15">
      <c r="A57" s="160" t="s">
        <v>565</v>
      </c>
      <c r="B57" s="161"/>
      <c r="C57" s="161"/>
      <c r="D57" s="161"/>
      <c r="E57" s="161"/>
      <c r="F57" s="161"/>
      <c r="G57" s="161"/>
      <c r="H57" s="161"/>
      <c r="I57" s="161"/>
      <c r="J57" s="161"/>
      <c r="K57" s="161"/>
      <c r="L57" s="161"/>
    </row>
    <row r="58" spans="1:15">
      <c r="A58" s="160" t="s">
        <v>566</v>
      </c>
      <c r="B58" s="161"/>
      <c r="C58" s="161"/>
      <c r="D58" s="161"/>
      <c r="E58" s="161"/>
      <c r="F58" s="161"/>
      <c r="G58" s="161"/>
      <c r="H58" s="161"/>
      <c r="I58" s="161"/>
      <c r="J58" s="161"/>
      <c r="K58" s="161"/>
      <c r="L58" s="161"/>
    </row>
    <row r="59" spans="1:15">
      <c r="A59" s="160" t="s">
        <v>567</v>
      </c>
      <c r="B59" s="161"/>
      <c r="C59" s="161"/>
      <c r="D59" s="161"/>
      <c r="E59" s="161"/>
      <c r="F59" s="161"/>
      <c r="G59" s="161"/>
      <c r="H59" s="161"/>
      <c r="I59" s="161"/>
      <c r="J59" s="161"/>
      <c r="K59" s="161"/>
      <c r="L59" s="161"/>
    </row>
    <row r="60" spans="1:15" ht="15.75" thickBot="1"/>
    <row r="61" spans="1:15" ht="20.25" thickBot="1">
      <c r="A61" s="29" t="s">
        <v>568</v>
      </c>
    </row>
    <row r="62" spans="1:15" ht="15.75" thickBot="1">
      <c r="A62" s="116" t="s">
        <v>558</v>
      </c>
      <c r="B62" s="116" t="s">
        <v>696</v>
      </c>
      <c r="C62" s="116" t="s">
        <v>697</v>
      </c>
      <c r="D62" s="116" t="s">
        <v>698</v>
      </c>
      <c r="E62" s="116" t="s">
        <v>699</v>
      </c>
      <c r="F62" s="116" t="s">
        <v>700</v>
      </c>
      <c r="G62" s="116" t="s">
        <v>701</v>
      </c>
      <c r="H62" s="116" t="s">
        <v>702</v>
      </c>
      <c r="I62" s="116" t="s">
        <v>703</v>
      </c>
      <c r="J62" s="116" t="s">
        <v>704</v>
      </c>
      <c r="K62" s="116" t="s">
        <v>705</v>
      </c>
      <c r="L62" s="116" t="s">
        <v>653</v>
      </c>
      <c r="M62" s="53" t="s">
        <v>559</v>
      </c>
      <c r="N62" s="53" t="s">
        <v>7</v>
      </c>
      <c r="O62" s="53" t="s">
        <v>560</v>
      </c>
    </row>
    <row r="63" spans="1:15" ht="15.75" thickBot="1">
      <c r="A63" s="2" t="s">
        <v>17</v>
      </c>
      <c r="B63" s="88">
        <v>34</v>
      </c>
      <c r="C63" s="89">
        <v>34</v>
      </c>
      <c r="D63" s="88">
        <v>34</v>
      </c>
      <c r="E63" s="89">
        <v>34</v>
      </c>
      <c r="F63" s="88">
        <v>34</v>
      </c>
      <c r="G63" s="89">
        <v>34</v>
      </c>
      <c r="H63" s="88">
        <v>34</v>
      </c>
      <c r="I63" s="89">
        <v>34</v>
      </c>
      <c r="J63" s="88">
        <v>34</v>
      </c>
      <c r="K63" s="89">
        <v>34</v>
      </c>
      <c r="L63" s="6" t="s">
        <v>10</v>
      </c>
      <c r="M63" s="7" t="s">
        <v>561</v>
      </c>
      <c r="N63" s="6" t="s">
        <v>20</v>
      </c>
      <c r="O63" s="7" t="s">
        <v>562</v>
      </c>
    </row>
    <row r="64" spans="1:15" ht="15.75" thickBot="1">
      <c r="A64" s="2" t="s">
        <v>21</v>
      </c>
      <c r="B64" s="88">
        <v>66</v>
      </c>
      <c r="C64" s="89">
        <v>66</v>
      </c>
      <c r="D64" s="88">
        <v>66</v>
      </c>
      <c r="E64" s="89">
        <v>66</v>
      </c>
      <c r="F64" s="88">
        <v>66</v>
      </c>
      <c r="G64" s="89">
        <v>66</v>
      </c>
      <c r="H64" s="88">
        <v>66</v>
      </c>
      <c r="I64" s="89">
        <v>66</v>
      </c>
      <c r="J64" s="88">
        <v>66</v>
      </c>
      <c r="K64" s="89">
        <v>66</v>
      </c>
      <c r="L64" s="6" t="s">
        <v>10</v>
      </c>
      <c r="M64" s="7" t="s">
        <v>563</v>
      </c>
      <c r="N64" s="6" t="s">
        <v>20</v>
      </c>
      <c r="O64" s="7" t="s">
        <v>562</v>
      </c>
    </row>
    <row r="65" spans="1:15" ht="15.75" thickBot="1">
      <c r="A65" s="2" t="s">
        <v>31</v>
      </c>
      <c r="B65" s="88">
        <v>491</v>
      </c>
      <c r="C65" s="89">
        <v>491</v>
      </c>
      <c r="D65" s="88">
        <v>491</v>
      </c>
      <c r="E65" s="89">
        <v>491</v>
      </c>
      <c r="F65" s="88">
        <v>501</v>
      </c>
      <c r="G65" s="89">
        <v>501</v>
      </c>
      <c r="H65" s="88">
        <v>501</v>
      </c>
      <c r="I65" s="89">
        <v>501</v>
      </c>
      <c r="J65" s="88">
        <v>501</v>
      </c>
      <c r="K65" s="89">
        <v>501</v>
      </c>
      <c r="L65" s="6" t="s">
        <v>10</v>
      </c>
      <c r="M65" s="7" t="s">
        <v>561</v>
      </c>
      <c r="N65" s="6" t="s">
        <v>20</v>
      </c>
      <c r="O65" s="7" t="s">
        <v>562</v>
      </c>
    </row>
    <row r="66" spans="1:15" ht="15.75" thickBot="1">
      <c r="A66" s="2" t="s">
        <v>35</v>
      </c>
      <c r="B66" s="88">
        <v>495</v>
      </c>
      <c r="C66" s="89">
        <v>495</v>
      </c>
      <c r="D66" s="88">
        <v>495</v>
      </c>
      <c r="E66" s="89">
        <v>495</v>
      </c>
      <c r="F66" s="88">
        <v>495</v>
      </c>
      <c r="G66" s="89">
        <v>495</v>
      </c>
      <c r="H66" s="88">
        <v>495</v>
      </c>
      <c r="I66" s="89">
        <v>495</v>
      </c>
      <c r="J66" s="88">
        <v>495</v>
      </c>
      <c r="K66" s="89">
        <v>495</v>
      </c>
      <c r="L66" s="6" t="s">
        <v>10</v>
      </c>
      <c r="M66" s="7" t="s">
        <v>561</v>
      </c>
      <c r="N66" s="6" t="s">
        <v>20</v>
      </c>
      <c r="O66" s="7" t="s">
        <v>562</v>
      </c>
    </row>
    <row r="67" spans="1:15" ht="15.75" thickBot="1">
      <c r="A67" s="2" t="s">
        <v>41</v>
      </c>
      <c r="B67" s="88">
        <v>620</v>
      </c>
      <c r="C67" s="89">
        <v>700</v>
      </c>
      <c r="D67" s="88">
        <v>700</v>
      </c>
      <c r="E67" s="89">
        <v>700</v>
      </c>
      <c r="F67" s="88">
        <v>700</v>
      </c>
      <c r="G67" s="89">
        <v>700</v>
      </c>
      <c r="H67" s="88">
        <v>700</v>
      </c>
      <c r="I67" s="89">
        <v>700</v>
      </c>
      <c r="J67" s="88">
        <v>700</v>
      </c>
      <c r="K67" s="89">
        <v>700</v>
      </c>
      <c r="L67" s="6" t="s">
        <v>10</v>
      </c>
      <c r="M67" s="7" t="s">
        <v>561</v>
      </c>
      <c r="N67" s="6" t="s">
        <v>20</v>
      </c>
      <c r="O67" s="7" t="s">
        <v>562</v>
      </c>
    </row>
    <row r="68" spans="1:15" ht="15.75" thickBot="1">
      <c r="A68" s="2" t="s">
        <v>44</v>
      </c>
      <c r="B68" s="88">
        <v>840</v>
      </c>
      <c r="C68" s="89">
        <v>840</v>
      </c>
      <c r="D68" s="88">
        <v>840</v>
      </c>
      <c r="E68" s="89">
        <v>840</v>
      </c>
      <c r="F68" s="88">
        <v>840</v>
      </c>
      <c r="G68" s="89">
        <v>840</v>
      </c>
      <c r="H68" s="88">
        <v>840</v>
      </c>
      <c r="I68" s="89">
        <v>840</v>
      </c>
      <c r="J68" s="88">
        <v>840</v>
      </c>
      <c r="K68" s="89">
        <v>840</v>
      </c>
      <c r="L68" s="6" t="s">
        <v>10</v>
      </c>
      <c r="M68" s="7" t="s">
        <v>561</v>
      </c>
      <c r="N68" s="6" t="s">
        <v>20</v>
      </c>
      <c r="O68" s="7" t="s">
        <v>562</v>
      </c>
    </row>
    <row r="69" spans="1:15" ht="15.75" thickBot="1">
      <c r="A69" s="2" t="s">
        <v>52</v>
      </c>
      <c r="B69" s="88">
        <v>89.5</v>
      </c>
      <c r="C69" s="89">
        <v>89.5</v>
      </c>
      <c r="D69" s="88">
        <v>89.5</v>
      </c>
      <c r="E69" s="89">
        <v>89.5</v>
      </c>
      <c r="F69" s="88">
        <v>89.5</v>
      </c>
      <c r="G69" s="89">
        <v>89.5</v>
      </c>
      <c r="H69" s="88">
        <v>89.5</v>
      </c>
      <c r="I69" s="89">
        <v>89.5</v>
      </c>
      <c r="J69" s="88">
        <v>89.5</v>
      </c>
      <c r="K69" s="89">
        <v>89.5</v>
      </c>
      <c r="L69" s="6" t="s">
        <v>10</v>
      </c>
      <c r="M69" s="7" t="s">
        <v>561</v>
      </c>
      <c r="N69" s="6" t="s">
        <v>20</v>
      </c>
      <c r="O69" s="7" t="s">
        <v>562</v>
      </c>
    </row>
    <row r="70" spans="1:15" ht="15.75" thickBot="1">
      <c r="A70" s="2" t="s">
        <v>56</v>
      </c>
      <c r="B70" s="88">
        <v>580</v>
      </c>
      <c r="C70" s="89">
        <v>580</v>
      </c>
      <c r="D70" s="88">
        <v>580</v>
      </c>
      <c r="E70" s="89">
        <v>580</v>
      </c>
      <c r="F70" s="88">
        <v>580</v>
      </c>
      <c r="G70" s="89">
        <v>580</v>
      </c>
      <c r="H70" s="88">
        <v>580</v>
      </c>
      <c r="I70" s="89">
        <v>580</v>
      </c>
      <c r="J70" s="88">
        <v>580</v>
      </c>
      <c r="K70" s="89">
        <v>580</v>
      </c>
      <c r="L70" s="6" t="s">
        <v>10</v>
      </c>
      <c r="M70" s="7" t="s">
        <v>561</v>
      </c>
      <c r="N70" s="6" t="s">
        <v>20</v>
      </c>
      <c r="O70" s="7" t="s">
        <v>562</v>
      </c>
    </row>
    <row r="71" spans="1:15" ht="15.75" thickBot="1">
      <c r="A71" s="2" t="s">
        <v>59</v>
      </c>
      <c r="B71" s="88">
        <v>1680</v>
      </c>
      <c r="C71" s="89">
        <v>1680</v>
      </c>
      <c r="D71" s="88">
        <v>1680</v>
      </c>
      <c r="E71" s="89">
        <v>1680</v>
      </c>
      <c r="F71" s="88">
        <v>1680</v>
      </c>
      <c r="G71" s="89">
        <v>1680</v>
      </c>
      <c r="H71" s="88">
        <v>1680</v>
      </c>
      <c r="I71" s="89">
        <v>1680</v>
      </c>
      <c r="J71" s="88">
        <v>1680</v>
      </c>
      <c r="K71" s="89">
        <v>1680</v>
      </c>
      <c r="L71" s="6" t="s">
        <v>10</v>
      </c>
      <c r="M71" s="7" t="s">
        <v>561</v>
      </c>
      <c r="N71" s="6" t="s">
        <v>20</v>
      </c>
      <c r="O71" s="7" t="s">
        <v>562</v>
      </c>
    </row>
    <row r="72" spans="1:15" ht="15.75" thickBot="1">
      <c r="A72" s="2" t="s">
        <v>62</v>
      </c>
      <c r="B72" s="88">
        <v>86.4</v>
      </c>
      <c r="C72" s="89">
        <v>86.4</v>
      </c>
      <c r="D72" s="88">
        <v>86.4</v>
      </c>
      <c r="E72" s="89">
        <v>86.4</v>
      </c>
      <c r="F72" s="88">
        <v>86.4</v>
      </c>
      <c r="G72" s="89">
        <v>86.4</v>
      </c>
      <c r="H72" s="88">
        <v>86.4</v>
      </c>
      <c r="I72" s="89">
        <v>86.4</v>
      </c>
      <c r="J72" s="88">
        <v>86.4</v>
      </c>
      <c r="K72" s="89">
        <v>86.4</v>
      </c>
      <c r="L72" s="6" t="s">
        <v>10</v>
      </c>
      <c r="M72" s="7" t="s">
        <v>563</v>
      </c>
      <c r="N72" s="6" t="s">
        <v>20</v>
      </c>
      <c r="O72" s="7" t="s">
        <v>562</v>
      </c>
    </row>
    <row r="73" spans="1:15" ht="15.75" thickBot="1">
      <c r="A73" s="2" t="s">
        <v>67</v>
      </c>
      <c r="B73" s="88">
        <v>713</v>
      </c>
      <c r="C73" s="89">
        <v>713</v>
      </c>
      <c r="D73" s="88">
        <v>713</v>
      </c>
      <c r="E73" s="89">
        <v>713</v>
      </c>
      <c r="F73" s="88">
        <v>713</v>
      </c>
      <c r="G73" s="89">
        <v>713</v>
      </c>
      <c r="H73" s="88">
        <v>713</v>
      </c>
      <c r="I73" s="89">
        <v>713</v>
      </c>
      <c r="J73" s="88">
        <v>713</v>
      </c>
      <c r="K73" s="89">
        <v>713</v>
      </c>
      <c r="L73" s="6" t="s">
        <v>10</v>
      </c>
      <c r="M73" s="7" t="s">
        <v>561</v>
      </c>
      <c r="N73" s="6" t="s">
        <v>20</v>
      </c>
      <c r="O73" s="7" t="s">
        <v>562</v>
      </c>
    </row>
    <row r="74" spans="1:15" ht="15.75" thickBot="1">
      <c r="A74" s="2" t="s">
        <v>71</v>
      </c>
      <c r="B74" s="88">
        <v>34</v>
      </c>
      <c r="C74" s="89">
        <v>34</v>
      </c>
      <c r="D74" s="88">
        <v>34</v>
      </c>
      <c r="E74" s="89">
        <v>0</v>
      </c>
      <c r="F74" s="88">
        <v>0</v>
      </c>
      <c r="G74" s="89">
        <v>0</v>
      </c>
      <c r="H74" s="88">
        <v>0</v>
      </c>
      <c r="I74" s="89">
        <v>0</v>
      </c>
      <c r="J74" s="88">
        <v>0</v>
      </c>
      <c r="K74" s="89">
        <v>0</v>
      </c>
      <c r="L74" s="6" t="s">
        <v>10</v>
      </c>
      <c r="M74" s="7" t="s">
        <v>561</v>
      </c>
      <c r="N74" s="6" t="s">
        <v>20</v>
      </c>
      <c r="O74" s="7" t="s">
        <v>562</v>
      </c>
    </row>
    <row r="75" spans="1:15" ht="15.75" thickBot="1">
      <c r="A75" s="2" t="s">
        <v>73</v>
      </c>
      <c r="B75" s="88">
        <v>612</v>
      </c>
      <c r="C75" s="89">
        <v>612</v>
      </c>
      <c r="D75" s="88">
        <v>612</v>
      </c>
      <c r="E75" s="89">
        <v>612</v>
      </c>
      <c r="F75" s="88">
        <v>612</v>
      </c>
      <c r="G75" s="89">
        <v>612</v>
      </c>
      <c r="H75" s="88">
        <v>612</v>
      </c>
      <c r="I75" s="89">
        <v>612</v>
      </c>
      <c r="J75" s="88">
        <v>612</v>
      </c>
      <c r="K75" s="89">
        <v>612</v>
      </c>
      <c r="L75" s="6" t="s">
        <v>10</v>
      </c>
      <c r="M75" s="7" t="s">
        <v>561</v>
      </c>
      <c r="N75" s="6" t="s">
        <v>20</v>
      </c>
      <c r="O75" s="7" t="s">
        <v>562</v>
      </c>
    </row>
    <row r="76" spans="1:15" ht="15.75" thickBot="1">
      <c r="A76" s="2" t="s">
        <v>76</v>
      </c>
      <c r="B76" s="88">
        <v>400</v>
      </c>
      <c r="C76" s="89">
        <v>400</v>
      </c>
      <c r="D76" s="88">
        <v>400</v>
      </c>
      <c r="E76" s="89">
        <v>400</v>
      </c>
      <c r="F76" s="88">
        <v>400</v>
      </c>
      <c r="G76" s="89">
        <v>400</v>
      </c>
      <c r="H76" s="88">
        <v>400</v>
      </c>
      <c r="I76" s="89">
        <v>400</v>
      </c>
      <c r="J76" s="88">
        <v>400</v>
      </c>
      <c r="K76" s="89">
        <v>400</v>
      </c>
      <c r="L76" s="6" t="s">
        <v>10</v>
      </c>
      <c r="M76" s="7" t="s">
        <v>561</v>
      </c>
      <c r="N76" s="6" t="s">
        <v>20</v>
      </c>
      <c r="O76" s="7" t="s">
        <v>562</v>
      </c>
    </row>
    <row r="77" spans="1:15" ht="15.75" thickBot="1">
      <c r="A77" s="2" t="s">
        <v>78</v>
      </c>
      <c r="B77" s="88">
        <v>282</v>
      </c>
      <c r="C77" s="89">
        <v>282</v>
      </c>
      <c r="D77" s="88">
        <v>282</v>
      </c>
      <c r="E77" s="89">
        <v>282</v>
      </c>
      <c r="F77" s="88">
        <v>282</v>
      </c>
      <c r="G77" s="89">
        <v>282</v>
      </c>
      <c r="H77" s="88">
        <v>282</v>
      </c>
      <c r="I77" s="89">
        <v>282</v>
      </c>
      <c r="J77" s="88">
        <v>282</v>
      </c>
      <c r="K77" s="89">
        <v>282</v>
      </c>
      <c r="L77" s="6" t="s">
        <v>10</v>
      </c>
      <c r="M77" s="7" t="s">
        <v>561</v>
      </c>
      <c r="N77" s="6" t="s">
        <v>20</v>
      </c>
      <c r="O77" s="7" t="s">
        <v>562</v>
      </c>
    </row>
    <row r="78" spans="1:15" ht="15.75" thickBot="1">
      <c r="A78" s="2" t="s">
        <v>81</v>
      </c>
      <c r="B78" s="88">
        <v>54</v>
      </c>
      <c r="C78" s="89">
        <v>54</v>
      </c>
      <c r="D78" s="88">
        <v>54</v>
      </c>
      <c r="E78" s="89">
        <v>54</v>
      </c>
      <c r="F78" s="88">
        <v>54</v>
      </c>
      <c r="G78" s="89">
        <v>54</v>
      </c>
      <c r="H78" s="88">
        <v>54</v>
      </c>
      <c r="I78" s="89">
        <v>54</v>
      </c>
      <c r="J78" s="88">
        <v>54</v>
      </c>
      <c r="K78" s="89">
        <v>54</v>
      </c>
      <c r="L78" s="6" t="s">
        <v>10</v>
      </c>
      <c r="M78" s="7" t="s">
        <v>561</v>
      </c>
      <c r="N78" s="6" t="s">
        <v>20</v>
      </c>
      <c r="O78" s="7" t="s">
        <v>562</v>
      </c>
    </row>
    <row r="79" spans="1:15" ht="15.75" thickBot="1">
      <c r="A79" s="2" t="s">
        <v>82</v>
      </c>
      <c r="B79" s="88">
        <v>1460</v>
      </c>
      <c r="C79" s="89">
        <v>1460</v>
      </c>
      <c r="D79" s="88">
        <v>1460</v>
      </c>
      <c r="E79" s="89">
        <v>1460</v>
      </c>
      <c r="F79" s="88">
        <v>1460</v>
      </c>
      <c r="G79" s="89">
        <v>1460</v>
      </c>
      <c r="H79" s="88">
        <v>1460</v>
      </c>
      <c r="I79" s="89">
        <v>1460</v>
      </c>
      <c r="J79" s="88">
        <v>1460</v>
      </c>
      <c r="K79" s="89">
        <v>1460</v>
      </c>
      <c r="L79" s="6" t="s">
        <v>10</v>
      </c>
      <c r="M79" s="7" t="s">
        <v>561</v>
      </c>
      <c r="N79" s="6" t="s">
        <v>20</v>
      </c>
      <c r="O79" s="7" t="s">
        <v>562</v>
      </c>
    </row>
    <row r="80" spans="1:15" ht="15.75" thickBot="1">
      <c r="A80" s="2" t="s">
        <v>84</v>
      </c>
      <c r="B80" s="88">
        <v>350</v>
      </c>
      <c r="C80" s="89">
        <v>350</v>
      </c>
      <c r="D80" s="88">
        <v>350</v>
      </c>
      <c r="E80" s="89">
        <v>350</v>
      </c>
      <c r="F80" s="88">
        <v>350</v>
      </c>
      <c r="G80" s="89">
        <v>350</v>
      </c>
      <c r="H80" s="88">
        <v>350</v>
      </c>
      <c r="I80" s="89">
        <v>350</v>
      </c>
      <c r="J80" s="88">
        <v>350</v>
      </c>
      <c r="K80" s="89">
        <v>350</v>
      </c>
      <c r="L80" s="6" t="s">
        <v>10</v>
      </c>
      <c r="M80" s="7" t="s">
        <v>561</v>
      </c>
      <c r="N80" s="6" t="s">
        <v>20</v>
      </c>
      <c r="O80" s="7" t="s">
        <v>562</v>
      </c>
    </row>
    <row r="81" spans="1:15" ht="15.75" thickBot="1">
      <c r="A81" s="2" t="s">
        <v>87</v>
      </c>
      <c r="B81" s="88">
        <v>1400</v>
      </c>
      <c r="C81" s="89">
        <v>1400</v>
      </c>
      <c r="D81" s="88">
        <v>1400</v>
      </c>
      <c r="E81" s="89">
        <v>1400</v>
      </c>
      <c r="F81" s="88">
        <v>1400</v>
      </c>
      <c r="G81" s="89">
        <v>1400</v>
      </c>
      <c r="H81" s="88">
        <v>1400</v>
      </c>
      <c r="I81" s="89">
        <v>1400</v>
      </c>
      <c r="J81" s="88">
        <v>1400</v>
      </c>
      <c r="K81" s="89">
        <v>1400</v>
      </c>
      <c r="L81" s="6" t="s">
        <v>10</v>
      </c>
      <c r="M81" s="7" t="s">
        <v>561</v>
      </c>
      <c r="N81" s="6" t="s">
        <v>20</v>
      </c>
      <c r="O81" s="7" t="s">
        <v>562</v>
      </c>
    </row>
    <row r="82" spans="1:15" ht="15.75" thickBot="1">
      <c r="A82" s="2" t="s">
        <v>89</v>
      </c>
      <c r="B82" s="88">
        <v>443</v>
      </c>
      <c r="C82" s="89">
        <v>443</v>
      </c>
      <c r="D82" s="88">
        <v>443</v>
      </c>
      <c r="E82" s="89">
        <v>443</v>
      </c>
      <c r="F82" s="88">
        <v>443</v>
      </c>
      <c r="G82" s="89">
        <v>443</v>
      </c>
      <c r="H82" s="88">
        <v>443</v>
      </c>
      <c r="I82" s="89">
        <v>443</v>
      </c>
      <c r="J82" s="88">
        <v>443</v>
      </c>
      <c r="K82" s="89">
        <v>443</v>
      </c>
      <c r="L82" s="6" t="s">
        <v>10</v>
      </c>
      <c r="M82" s="7" t="s">
        <v>561</v>
      </c>
      <c r="N82" s="6" t="s">
        <v>20</v>
      </c>
      <c r="O82" s="7" t="s">
        <v>562</v>
      </c>
    </row>
    <row r="83" spans="1:15" ht="15.75" thickBot="1">
      <c r="A83" s="2" t="s">
        <v>91</v>
      </c>
      <c r="B83" s="88">
        <v>233</v>
      </c>
      <c r="C83" s="89">
        <v>233</v>
      </c>
      <c r="D83" s="88">
        <v>233</v>
      </c>
      <c r="E83" s="89">
        <v>233</v>
      </c>
      <c r="F83" s="88">
        <v>232</v>
      </c>
      <c r="G83" s="89">
        <v>232</v>
      </c>
      <c r="H83" s="88">
        <v>231</v>
      </c>
      <c r="I83" s="89">
        <v>231</v>
      </c>
      <c r="J83" s="88">
        <v>231</v>
      </c>
      <c r="K83" s="89">
        <v>231</v>
      </c>
      <c r="L83" s="6" t="s">
        <v>10</v>
      </c>
      <c r="M83" s="7" t="s">
        <v>561</v>
      </c>
      <c r="N83" s="6" t="s">
        <v>20</v>
      </c>
      <c r="O83" s="7" t="s">
        <v>562</v>
      </c>
    </row>
    <row r="84" spans="1:15" ht="15.75" thickBot="1">
      <c r="A84" s="2" t="s">
        <v>93</v>
      </c>
      <c r="B84" s="88">
        <v>570</v>
      </c>
      <c r="C84" s="89">
        <v>570</v>
      </c>
      <c r="D84" s="88">
        <v>570</v>
      </c>
      <c r="E84" s="89">
        <v>570</v>
      </c>
      <c r="F84" s="88">
        <v>570</v>
      </c>
      <c r="G84" s="89">
        <v>570</v>
      </c>
      <c r="H84" s="88">
        <v>570</v>
      </c>
      <c r="I84" s="89">
        <v>570</v>
      </c>
      <c r="J84" s="88">
        <v>570</v>
      </c>
      <c r="K84" s="89">
        <v>570</v>
      </c>
      <c r="L84" s="6" t="s">
        <v>10</v>
      </c>
      <c r="M84" s="7" t="s">
        <v>25</v>
      </c>
      <c r="N84" s="6" t="s">
        <v>20</v>
      </c>
      <c r="O84" s="7" t="s">
        <v>562</v>
      </c>
    </row>
    <row r="85" spans="1:15" ht="15.75" thickBot="1">
      <c r="B85" s="86"/>
      <c r="C85" s="86"/>
      <c r="D85" s="86"/>
      <c r="E85" s="86"/>
      <c r="F85" s="86"/>
      <c r="G85" s="86"/>
      <c r="H85" s="86"/>
      <c r="I85" s="86"/>
      <c r="J85" s="86"/>
      <c r="K85" s="86"/>
    </row>
    <row r="86" spans="1:15" ht="15.75" thickBot="1">
      <c r="A86" s="2" t="s">
        <v>569</v>
      </c>
      <c r="B86" s="88" t="s">
        <v>570</v>
      </c>
      <c r="C86" s="89" t="s">
        <v>570</v>
      </c>
      <c r="D86" s="88" t="s">
        <v>570</v>
      </c>
      <c r="E86" s="89" t="s">
        <v>570</v>
      </c>
      <c r="F86" s="88" t="s">
        <v>570</v>
      </c>
      <c r="G86" s="89" t="s">
        <v>570</v>
      </c>
      <c r="H86" s="88" t="s">
        <v>570</v>
      </c>
      <c r="I86" s="89" t="s">
        <v>570</v>
      </c>
      <c r="J86" s="88" t="s">
        <v>570</v>
      </c>
      <c r="K86" s="89" t="s">
        <v>570</v>
      </c>
      <c r="L86" s="6" t="s">
        <v>14</v>
      </c>
    </row>
    <row r="87" spans="1:15" ht="15.75" thickBot="1">
      <c r="A87" s="2" t="s">
        <v>571</v>
      </c>
      <c r="B87" s="88" t="s">
        <v>570</v>
      </c>
      <c r="C87" s="89" t="s">
        <v>570</v>
      </c>
      <c r="D87" s="88" t="s">
        <v>570</v>
      </c>
      <c r="E87" s="89" t="s">
        <v>570</v>
      </c>
      <c r="F87" s="88" t="s">
        <v>570</v>
      </c>
      <c r="G87" s="89" t="s">
        <v>570</v>
      </c>
      <c r="H87" s="88" t="s">
        <v>570</v>
      </c>
      <c r="I87" s="89" t="s">
        <v>570</v>
      </c>
      <c r="J87" s="88" t="s">
        <v>570</v>
      </c>
      <c r="K87" s="89" t="s">
        <v>570</v>
      </c>
      <c r="L87" s="6" t="s">
        <v>14</v>
      </c>
    </row>
    <row r="88" spans="1:15" ht="15.75" thickBot="1">
      <c r="A88" s="51" t="s">
        <v>95</v>
      </c>
      <c r="B88" s="87">
        <f>SUM(sumcapsstable[201819])</f>
        <v>11532.9</v>
      </c>
      <c r="C88" s="87">
        <f>SUM(sumcapsstable[201920])</f>
        <v>11612.9</v>
      </c>
      <c r="D88" s="87">
        <f>SUM(sumcapsstable[202021])</f>
        <v>11612.9</v>
      </c>
      <c r="E88" s="87">
        <f>SUM(sumcapsstable[202122])</f>
        <v>11578.9</v>
      </c>
      <c r="F88" s="87">
        <f>SUM(sumcapsstable[202223])</f>
        <v>11587.9</v>
      </c>
      <c r="G88" s="87">
        <f>SUM(sumcapsstable[202324])</f>
        <v>11587.9</v>
      </c>
      <c r="H88" s="87">
        <f>SUM(sumcapsstable[202425])</f>
        <v>11586.9</v>
      </c>
      <c r="I88" s="87">
        <f>SUM(sumcapsstable[202526])</f>
        <v>11586.9</v>
      </c>
      <c r="J88" s="87">
        <f>SUM(sumcapsstable[202627])</f>
        <v>11586.9</v>
      </c>
      <c r="K88" s="87">
        <f>SUM(sumcapsstable[202728])</f>
        <v>11586.9</v>
      </c>
      <c r="L88" s="52"/>
    </row>
    <row r="89" spans="1:15" ht="15.75" thickBot="1"/>
    <row r="90" spans="1:15" ht="20.25" thickBot="1">
      <c r="A90" s="29" t="s">
        <v>572</v>
      </c>
    </row>
    <row r="91" spans="1:15" ht="15.75" thickBot="1">
      <c r="A91" s="116" t="s">
        <v>558</v>
      </c>
      <c r="B91" s="116" t="s">
        <v>696</v>
      </c>
      <c r="C91" s="116" t="s">
        <v>697</v>
      </c>
      <c r="D91" s="116" t="s">
        <v>698</v>
      </c>
      <c r="E91" s="116" t="s">
        <v>699</v>
      </c>
      <c r="F91" s="116" t="s">
        <v>700</v>
      </c>
      <c r="G91" s="116" t="s">
        <v>701</v>
      </c>
      <c r="H91" s="116" t="s">
        <v>702</v>
      </c>
      <c r="I91" s="116" t="s">
        <v>703</v>
      </c>
      <c r="J91" s="116" t="s">
        <v>704</v>
      </c>
      <c r="K91" s="116" t="s">
        <v>705</v>
      </c>
      <c r="L91" s="116" t="s">
        <v>653</v>
      </c>
      <c r="M91" s="60" t="s">
        <v>559</v>
      </c>
      <c r="N91" s="60" t="s">
        <v>7</v>
      </c>
      <c r="O91" s="60" t="s">
        <v>560</v>
      </c>
    </row>
    <row r="92" spans="1:15" ht="15.75" thickBot="1">
      <c r="A92" s="18" t="s">
        <v>736</v>
      </c>
      <c r="B92" s="82">
        <v>0</v>
      </c>
      <c r="C92" s="83">
        <v>0</v>
      </c>
      <c r="D92" s="82">
        <v>34.5</v>
      </c>
      <c r="E92" s="83">
        <v>34.5</v>
      </c>
      <c r="F92" s="82">
        <v>34.5</v>
      </c>
      <c r="G92" s="83">
        <v>34.5</v>
      </c>
      <c r="H92" s="82">
        <v>34.5</v>
      </c>
      <c r="I92" s="83">
        <v>34.5</v>
      </c>
      <c r="J92" s="82">
        <v>34.5</v>
      </c>
      <c r="K92" s="83">
        <v>34.5</v>
      </c>
      <c r="L92" s="72" t="s">
        <v>14</v>
      </c>
      <c r="M92" s="22" t="s">
        <v>40</v>
      </c>
      <c r="N92" s="72" t="s">
        <v>20</v>
      </c>
      <c r="O92" s="22" t="s">
        <v>562</v>
      </c>
    </row>
    <row r="93" spans="1:15" ht="15.75" thickBot="1">
      <c r="A93" s="17" t="s">
        <v>296</v>
      </c>
      <c r="B93" s="84">
        <v>56</v>
      </c>
      <c r="C93" s="85">
        <v>56</v>
      </c>
      <c r="D93" s="84">
        <v>56</v>
      </c>
      <c r="E93" s="85">
        <v>56</v>
      </c>
      <c r="F93" s="84">
        <v>56</v>
      </c>
      <c r="G93" s="85">
        <v>56</v>
      </c>
      <c r="H93" s="84">
        <v>56</v>
      </c>
      <c r="I93" s="85">
        <v>56</v>
      </c>
      <c r="J93" s="84">
        <v>56</v>
      </c>
      <c r="K93" s="85">
        <v>56</v>
      </c>
      <c r="L93" s="71" t="s">
        <v>14</v>
      </c>
      <c r="M93" s="21" t="s">
        <v>40</v>
      </c>
      <c r="N93" s="71" t="s">
        <v>20</v>
      </c>
      <c r="O93" s="21" t="s">
        <v>562</v>
      </c>
    </row>
    <row r="94" spans="1:15" ht="15.75" thickBot="1">
      <c r="A94" s="17" t="s">
        <v>48</v>
      </c>
      <c r="B94" s="84">
        <v>100</v>
      </c>
      <c r="C94" s="85">
        <v>99.3</v>
      </c>
      <c r="D94" s="84">
        <v>98.6</v>
      </c>
      <c r="E94" s="85">
        <v>97.9</v>
      </c>
      <c r="F94" s="84">
        <v>97.2</v>
      </c>
      <c r="G94" s="85">
        <v>96.5</v>
      </c>
      <c r="H94" s="84">
        <v>95.9</v>
      </c>
      <c r="I94" s="85">
        <v>95.2</v>
      </c>
      <c r="J94" s="84">
        <v>94.5</v>
      </c>
      <c r="K94" s="85">
        <v>93.9</v>
      </c>
      <c r="L94" s="71" t="s">
        <v>14</v>
      </c>
      <c r="M94" s="21" t="s">
        <v>40</v>
      </c>
      <c r="N94" s="71" t="s">
        <v>20</v>
      </c>
      <c r="O94" s="21" t="s">
        <v>562</v>
      </c>
    </row>
    <row r="95" spans="1:15" ht="15.75" thickBot="1">
      <c r="A95" s="17" t="s">
        <v>100</v>
      </c>
      <c r="B95" s="84">
        <v>75</v>
      </c>
      <c r="C95" s="85">
        <v>75</v>
      </c>
      <c r="D95" s="84">
        <v>75</v>
      </c>
      <c r="E95" s="85">
        <v>75</v>
      </c>
      <c r="F95" s="84">
        <v>75</v>
      </c>
      <c r="G95" s="85">
        <v>75</v>
      </c>
      <c r="H95" s="84">
        <v>75</v>
      </c>
      <c r="I95" s="85">
        <v>75</v>
      </c>
      <c r="J95" s="84">
        <v>75</v>
      </c>
      <c r="K95" s="85">
        <v>75</v>
      </c>
      <c r="L95" s="71" t="s">
        <v>14</v>
      </c>
      <c r="M95" s="21" t="s">
        <v>40</v>
      </c>
      <c r="N95" s="71" t="s">
        <v>20</v>
      </c>
      <c r="O95" s="21" t="s">
        <v>562</v>
      </c>
    </row>
    <row r="96" spans="1:15" ht="15.75" thickBot="1">
      <c r="A96" s="17" t="s">
        <v>102</v>
      </c>
      <c r="B96" s="84">
        <v>42.5</v>
      </c>
      <c r="C96" s="85">
        <v>42.5</v>
      </c>
      <c r="D96" s="84">
        <v>42.5</v>
      </c>
      <c r="E96" s="85">
        <v>42.5</v>
      </c>
      <c r="F96" s="84">
        <v>42.5</v>
      </c>
      <c r="G96" s="85">
        <v>42.5</v>
      </c>
      <c r="H96" s="84">
        <v>42.5</v>
      </c>
      <c r="I96" s="85">
        <v>42.5</v>
      </c>
      <c r="J96" s="84">
        <v>42.5</v>
      </c>
      <c r="K96" s="85">
        <v>42.5</v>
      </c>
      <c r="L96" s="71" t="s">
        <v>14</v>
      </c>
      <c r="M96" s="21" t="s">
        <v>40</v>
      </c>
      <c r="N96" s="71" t="s">
        <v>20</v>
      </c>
      <c r="O96" s="21" t="s">
        <v>562</v>
      </c>
    </row>
    <row r="97" spans="1:15" ht="15.75" thickBot="1">
      <c r="A97" s="17" t="s">
        <v>734</v>
      </c>
      <c r="B97" s="84">
        <v>0</v>
      </c>
      <c r="C97" s="85">
        <v>453</v>
      </c>
      <c r="D97" s="84">
        <v>453</v>
      </c>
      <c r="E97" s="85">
        <v>453</v>
      </c>
      <c r="F97" s="84">
        <v>453</v>
      </c>
      <c r="G97" s="85">
        <v>453</v>
      </c>
      <c r="H97" s="84">
        <v>453</v>
      </c>
      <c r="I97" s="85">
        <v>453</v>
      </c>
      <c r="J97" s="84">
        <v>453</v>
      </c>
      <c r="K97" s="85">
        <v>453</v>
      </c>
      <c r="L97" s="71" t="s">
        <v>14</v>
      </c>
      <c r="M97" s="21" t="s">
        <v>13</v>
      </c>
      <c r="N97" s="71" t="s">
        <v>20</v>
      </c>
      <c r="O97" s="21" t="s">
        <v>562</v>
      </c>
    </row>
    <row r="98" spans="1:15" ht="23.25" thickBot="1">
      <c r="A98" s="17" t="s">
        <v>104</v>
      </c>
      <c r="B98" s="84">
        <v>108.5</v>
      </c>
      <c r="C98" s="85">
        <v>108.5</v>
      </c>
      <c r="D98" s="84">
        <v>108.5</v>
      </c>
      <c r="E98" s="85">
        <v>108.5</v>
      </c>
      <c r="F98" s="84">
        <v>108.5</v>
      </c>
      <c r="G98" s="85">
        <v>108.5</v>
      </c>
      <c r="H98" s="84">
        <v>108.5</v>
      </c>
      <c r="I98" s="85">
        <v>108.5</v>
      </c>
      <c r="J98" s="84">
        <v>108.5</v>
      </c>
      <c r="K98" s="85">
        <v>108.5</v>
      </c>
      <c r="L98" s="71" t="s">
        <v>14</v>
      </c>
      <c r="M98" s="21" t="s">
        <v>40</v>
      </c>
      <c r="N98" s="71" t="s">
        <v>20</v>
      </c>
      <c r="O98" s="21" t="s">
        <v>562</v>
      </c>
    </row>
    <row r="99" spans="1:15" ht="15.75" thickBot="1">
      <c r="A99" s="17" t="s">
        <v>105</v>
      </c>
      <c r="B99" s="84">
        <v>150</v>
      </c>
      <c r="C99" s="85">
        <v>150</v>
      </c>
      <c r="D99" s="84">
        <v>150</v>
      </c>
      <c r="E99" s="85">
        <v>150</v>
      </c>
      <c r="F99" s="84">
        <v>150</v>
      </c>
      <c r="G99" s="85">
        <v>150</v>
      </c>
      <c r="H99" s="84">
        <v>150</v>
      </c>
      <c r="I99" s="85">
        <v>150</v>
      </c>
      <c r="J99" s="84">
        <v>150</v>
      </c>
      <c r="K99" s="85">
        <v>150</v>
      </c>
      <c r="L99" s="71" t="s">
        <v>14</v>
      </c>
      <c r="M99" s="21" t="s">
        <v>40</v>
      </c>
      <c r="N99" s="71" t="s">
        <v>20</v>
      </c>
      <c r="O99" s="21" t="s">
        <v>562</v>
      </c>
    </row>
    <row r="100" spans="1:15" ht="15.75" thickBot="1">
      <c r="A100" s="17" t="s">
        <v>320</v>
      </c>
      <c r="B100" s="84">
        <v>72</v>
      </c>
      <c r="C100" s="85">
        <v>72</v>
      </c>
      <c r="D100" s="84">
        <v>72</v>
      </c>
      <c r="E100" s="85">
        <v>72</v>
      </c>
      <c r="F100" s="84">
        <v>72</v>
      </c>
      <c r="G100" s="85">
        <v>72</v>
      </c>
      <c r="H100" s="84">
        <v>72</v>
      </c>
      <c r="I100" s="85">
        <v>72</v>
      </c>
      <c r="J100" s="84">
        <v>72</v>
      </c>
      <c r="K100" s="85">
        <v>72</v>
      </c>
      <c r="L100" s="71" t="s">
        <v>14</v>
      </c>
      <c r="M100" s="21" t="s">
        <v>40</v>
      </c>
      <c r="N100" s="71" t="s">
        <v>20</v>
      </c>
      <c r="O100" s="21" t="s">
        <v>562</v>
      </c>
    </row>
    <row r="101" spans="1:15" ht="15.75" thickBot="1">
      <c r="A101" s="17" t="s">
        <v>338</v>
      </c>
      <c r="B101" s="84">
        <v>57.5</v>
      </c>
      <c r="C101" s="85">
        <v>57.5</v>
      </c>
      <c r="D101" s="84">
        <v>57.5</v>
      </c>
      <c r="E101" s="85">
        <v>57.5</v>
      </c>
      <c r="F101" s="84">
        <v>57.5</v>
      </c>
      <c r="G101" s="85">
        <v>57.5</v>
      </c>
      <c r="H101" s="84">
        <v>57.5</v>
      </c>
      <c r="I101" s="85">
        <v>57.5</v>
      </c>
      <c r="J101" s="84">
        <v>57.5</v>
      </c>
      <c r="K101" s="85">
        <v>57.5</v>
      </c>
      <c r="L101" s="71" t="s">
        <v>14</v>
      </c>
      <c r="M101" s="21" t="s">
        <v>40</v>
      </c>
      <c r="N101" s="71" t="s">
        <v>20</v>
      </c>
      <c r="O101" s="21" t="s">
        <v>562</v>
      </c>
    </row>
    <row r="102" spans="1:15" ht="15.75" thickBot="1">
      <c r="A102" s="17" t="s">
        <v>107</v>
      </c>
      <c r="B102" s="84">
        <v>100</v>
      </c>
      <c r="C102" s="85">
        <v>100</v>
      </c>
      <c r="D102" s="84">
        <v>100</v>
      </c>
      <c r="E102" s="85">
        <v>100</v>
      </c>
      <c r="F102" s="84">
        <v>100</v>
      </c>
      <c r="G102" s="85">
        <v>100</v>
      </c>
      <c r="H102" s="84">
        <v>100</v>
      </c>
      <c r="I102" s="85">
        <v>100</v>
      </c>
      <c r="J102" s="84">
        <v>100</v>
      </c>
      <c r="K102" s="85">
        <v>100</v>
      </c>
      <c r="L102" s="71" t="s">
        <v>14</v>
      </c>
      <c r="M102" s="21" t="s">
        <v>40</v>
      </c>
      <c r="N102" s="71" t="s">
        <v>20</v>
      </c>
      <c r="O102" s="21" t="s">
        <v>562</v>
      </c>
    </row>
    <row r="103" spans="1:15" ht="15.75" thickBot="1">
      <c r="A103" s="17" t="s">
        <v>109</v>
      </c>
      <c r="B103" s="84">
        <v>50</v>
      </c>
      <c r="C103" s="85">
        <v>50</v>
      </c>
      <c r="D103" s="84">
        <v>50</v>
      </c>
      <c r="E103" s="85">
        <v>50</v>
      </c>
      <c r="F103" s="84">
        <v>50</v>
      </c>
      <c r="G103" s="85">
        <v>50</v>
      </c>
      <c r="H103" s="84">
        <v>50</v>
      </c>
      <c r="I103" s="85">
        <v>50</v>
      </c>
      <c r="J103" s="84">
        <v>50</v>
      </c>
      <c r="K103" s="85">
        <v>50</v>
      </c>
      <c r="L103" s="71" t="s">
        <v>14</v>
      </c>
      <c r="M103" s="21" t="s">
        <v>40</v>
      </c>
      <c r="N103" s="71" t="s">
        <v>20</v>
      </c>
      <c r="O103" s="21" t="s">
        <v>562</v>
      </c>
    </row>
    <row r="104" spans="1:15" ht="23.25" thickBot="1">
      <c r="A104" s="17" t="s">
        <v>110</v>
      </c>
      <c r="B104" s="84">
        <v>0</v>
      </c>
      <c r="C104" s="85">
        <v>15</v>
      </c>
      <c r="D104" s="84">
        <v>15</v>
      </c>
      <c r="E104" s="85">
        <v>15</v>
      </c>
      <c r="F104" s="84">
        <v>15</v>
      </c>
      <c r="G104" s="85">
        <v>15</v>
      </c>
      <c r="H104" s="84">
        <v>15</v>
      </c>
      <c r="I104" s="85">
        <v>15</v>
      </c>
      <c r="J104" s="84">
        <v>15</v>
      </c>
      <c r="K104" s="85">
        <v>15</v>
      </c>
      <c r="L104" s="71" t="s">
        <v>14</v>
      </c>
      <c r="M104" s="21" t="s">
        <v>40</v>
      </c>
      <c r="N104" s="71" t="s">
        <v>20</v>
      </c>
      <c r="O104" s="21" t="s">
        <v>562</v>
      </c>
    </row>
    <row r="105" spans="1:15" ht="23.25" thickBot="1">
      <c r="A105" s="17" t="s">
        <v>111</v>
      </c>
      <c r="B105" s="84">
        <v>0</v>
      </c>
      <c r="C105" s="85">
        <v>2</v>
      </c>
      <c r="D105" s="84">
        <v>2</v>
      </c>
      <c r="E105" s="85">
        <v>2</v>
      </c>
      <c r="F105" s="84">
        <v>2</v>
      </c>
      <c r="G105" s="85">
        <v>2</v>
      </c>
      <c r="H105" s="84">
        <v>2</v>
      </c>
      <c r="I105" s="85">
        <v>2</v>
      </c>
      <c r="J105" s="84">
        <v>2</v>
      </c>
      <c r="K105" s="85">
        <v>2</v>
      </c>
      <c r="L105" s="71" t="s">
        <v>14</v>
      </c>
      <c r="M105" s="21" t="s">
        <v>730</v>
      </c>
      <c r="N105" s="71" t="s">
        <v>20</v>
      </c>
      <c r="O105" s="21" t="s">
        <v>562</v>
      </c>
    </row>
    <row r="106" spans="1:15" ht="23.25" thickBot="1">
      <c r="A106" s="17" t="s">
        <v>112</v>
      </c>
      <c r="B106" s="84">
        <v>0</v>
      </c>
      <c r="C106" s="85">
        <v>43.2</v>
      </c>
      <c r="D106" s="84">
        <v>43.2</v>
      </c>
      <c r="E106" s="85">
        <v>43.2</v>
      </c>
      <c r="F106" s="84">
        <v>43.2</v>
      </c>
      <c r="G106" s="85">
        <v>43.2</v>
      </c>
      <c r="H106" s="84">
        <v>43.2</v>
      </c>
      <c r="I106" s="85">
        <v>43.2</v>
      </c>
      <c r="J106" s="84">
        <v>43.2</v>
      </c>
      <c r="K106" s="85">
        <v>43.2</v>
      </c>
      <c r="L106" s="71" t="s">
        <v>14</v>
      </c>
      <c r="M106" s="21" t="s">
        <v>13</v>
      </c>
      <c r="N106" s="71" t="s">
        <v>20</v>
      </c>
      <c r="O106" s="21" t="s">
        <v>562</v>
      </c>
    </row>
    <row r="107" spans="1:15" ht="23.25" thickBot="1">
      <c r="A107" s="17" t="s">
        <v>64</v>
      </c>
      <c r="B107" s="84">
        <v>48.5</v>
      </c>
      <c r="C107" s="85">
        <v>48.5</v>
      </c>
      <c r="D107" s="84">
        <v>48.5</v>
      </c>
      <c r="E107" s="85">
        <v>48.5</v>
      </c>
      <c r="F107" s="84">
        <v>48.5</v>
      </c>
      <c r="G107" s="85">
        <v>48.5</v>
      </c>
      <c r="H107" s="84">
        <v>48.5</v>
      </c>
      <c r="I107" s="85">
        <v>48.5</v>
      </c>
      <c r="J107" s="84">
        <v>48.5</v>
      </c>
      <c r="K107" s="85">
        <v>48.5</v>
      </c>
      <c r="L107" s="71" t="s">
        <v>14</v>
      </c>
      <c r="M107" s="21" t="s">
        <v>40</v>
      </c>
      <c r="N107" s="71" t="s">
        <v>20</v>
      </c>
      <c r="O107" s="21" t="s">
        <v>562</v>
      </c>
    </row>
    <row r="108" spans="1:15" ht="15.75" thickBot="1">
      <c r="A108" s="17" t="s">
        <v>114</v>
      </c>
      <c r="B108" s="84">
        <v>100</v>
      </c>
      <c r="C108" s="85">
        <v>99.3</v>
      </c>
      <c r="D108" s="84">
        <v>98.6</v>
      </c>
      <c r="E108" s="85">
        <v>97.9</v>
      </c>
      <c r="F108" s="84">
        <v>97.2</v>
      </c>
      <c r="G108" s="85">
        <v>96.5</v>
      </c>
      <c r="H108" s="84">
        <v>95.9</v>
      </c>
      <c r="I108" s="85">
        <v>95.2</v>
      </c>
      <c r="J108" s="84">
        <v>94.5</v>
      </c>
      <c r="K108" s="85">
        <v>93.9</v>
      </c>
      <c r="L108" s="71" t="s">
        <v>14</v>
      </c>
      <c r="M108" s="21" t="s">
        <v>40</v>
      </c>
      <c r="N108" s="71" t="s">
        <v>20</v>
      </c>
      <c r="O108" s="21" t="s">
        <v>562</v>
      </c>
    </row>
    <row r="109" spans="1:15" ht="15.75" thickBot="1">
      <c r="A109" s="17" t="s">
        <v>116</v>
      </c>
      <c r="B109" s="84">
        <v>180.45</v>
      </c>
      <c r="C109" s="85">
        <v>180.45</v>
      </c>
      <c r="D109" s="84">
        <v>180.45</v>
      </c>
      <c r="E109" s="85">
        <v>180.45</v>
      </c>
      <c r="F109" s="84">
        <v>180.45</v>
      </c>
      <c r="G109" s="85">
        <v>180.45</v>
      </c>
      <c r="H109" s="84">
        <v>180.45</v>
      </c>
      <c r="I109" s="85">
        <v>180.45</v>
      </c>
      <c r="J109" s="84">
        <v>180.45</v>
      </c>
      <c r="K109" s="85">
        <v>180.45</v>
      </c>
      <c r="L109" s="71" t="s">
        <v>14</v>
      </c>
      <c r="M109" s="21" t="s">
        <v>13</v>
      </c>
      <c r="N109" s="71" t="s">
        <v>20</v>
      </c>
      <c r="O109" s="21" t="s">
        <v>562</v>
      </c>
    </row>
    <row r="110" spans="1:15" ht="15.75" thickBot="1">
      <c r="A110" s="17" t="s">
        <v>118</v>
      </c>
      <c r="B110" s="84">
        <v>0</v>
      </c>
      <c r="C110" s="85">
        <v>55</v>
      </c>
      <c r="D110" s="84">
        <v>55</v>
      </c>
      <c r="E110" s="85">
        <v>55</v>
      </c>
      <c r="F110" s="84">
        <v>55</v>
      </c>
      <c r="G110" s="85">
        <v>55</v>
      </c>
      <c r="H110" s="84">
        <v>55</v>
      </c>
      <c r="I110" s="85">
        <v>55</v>
      </c>
      <c r="J110" s="84">
        <v>55</v>
      </c>
      <c r="K110" s="85">
        <v>55</v>
      </c>
      <c r="L110" s="71" t="s">
        <v>14</v>
      </c>
      <c r="M110" s="21" t="s">
        <v>40</v>
      </c>
      <c r="N110" s="71" t="s">
        <v>20</v>
      </c>
      <c r="O110" s="21" t="s">
        <v>562</v>
      </c>
    </row>
    <row r="111" spans="1:15" ht="15.75" thickBot="1">
      <c r="A111" s="17" t="s">
        <v>120</v>
      </c>
      <c r="B111" s="84">
        <v>0</v>
      </c>
      <c r="C111" s="85">
        <v>25</v>
      </c>
      <c r="D111" s="84">
        <v>25</v>
      </c>
      <c r="E111" s="85">
        <v>25</v>
      </c>
      <c r="F111" s="84">
        <v>25</v>
      </c>
      <c r="G111" s="85">
        <v>25</v>
      </c>
      <c r="H111" s="84">
        <v>25</v>
      </c>
      <c r="I111" s="85">
        <v>25</v>
      </c>
      <c r="J111" s="84">
        <v>25</v>
      </c>
      <c r="K111" s="85">
        <v>25</v>
      </c>
      <c r="L111" s="71" t="s">
        <v>14</v>
      </c>
      <c r="M111" s="21" t="s">
        <v>40</v>
      </c>
      <c r="N111" s="71" t="s">
        <v>20</v>
      </c>
      <c r="O111" s="21" t="s">
        <v>562</v>
      </c>
    </row>
    <row r="112" spans="1:15" ht="15.75" thickBot="1">
      <c r="A112" s="17" t="s">
        <v>122</v>
      </c>
      <c r="B112" s="84">
        <v>116</v>
      </c>
      <c r="C112" s="85">
        <v>116</v>
      </c>
      <c r="D112" s="84">
        <v>116</v>
      </c>
      <c r="E112" s="85">
        <v>116</v>
      </c>
      <c r="F112" s="84">
        <v>116</v>
      </c>
      <c r="G112" s="85">
        <v>116</v>
      </c>
      <c r="H112" s="84">
        <v>116</v>
      </c>
      <c r="I112" s="85">
        <v>116</v>
      </c>
      <c r="J112" s="84">
        <v>116</v>
      </c>
      <c r="K112" s="85">
        <v>116</v>
      </c>
      <c r="L112" s="71" t="s">
        <v>14</v>
      </c>
      <c r="M112" s="21" t="s">
        <v>40</v>
      </c>
      <c r="N112" s="71" t="s">
        <v>20</v>
      </c>
      <c r="O112" s="21" t="s">
        <v>562</v>
      </c>
    </row>
    <row r="113" spans="1:15" ht="15.75" thickBot="1">
      <c r="A113" s="17" t="s">
        <v>398</v>
      </c>
      <c r="B113" s="84">
        <v>65</v>
      </c>
      <c r="C113" s="85">
        <v>65</v>
      </c>
      <c r="D113" s="84">
        <v>65</v>
      </c>
      <c r="E113" s="85">
        <v>65</v>
      </c>
      <c r="F113" s="84">
        <v>65</v>
      </c>
      <c r="G113" s="85">
        <v>65</v>
      </c>
      <c r="H113" s="84">
        <v>65</v>
      </c>
      <c r="I113" s="85">
        <v>65</v>
      </c>
      <c r="J113" s="84">
        <v>65</v>
      </c>
      <c r="K113" s="85">
        <v>65</v>
      </c>
      <c r="L113" s="71" t="s">
        <v>14</v>
      </c>
      <c r="M113" s="21" t="s">
        <v>40</v>
      </c>
      <c r="N113" s="71" t="s">
        <v>20</v>
      </c>
      <c r="O113" s="21" t="s">
        <v>562</v>
      </c>
    </row>
    <row r="114" spans="1:15" s="78" customFormat="1" ht="23.25" thickBot="1">
      <c r="A114" s="17" t="s">
        <v>193</v>
      </c>
      <c r="B114" s="84">
        <v>124</v>
      </c>
      <c r="C114" s="85">
        <v>124</v>
      </c>
      <c r="D114" s="84">
        <v>124</v>
      </c>
      <c r="E114" s="85">
        <v>124</v>
      </c>
      <c r="F114" s="84">
        <v>124</v>
      </c>
      <c r="G114" s="85">
        <v>124</v>
      </c>
      <c r="H114" s="84">
        <v>124</v>
      </c>
      <c r="I114" s="85">
        <v>124</v>
      </c>
      <c r="J114" s="84">
        <v>124</v>
      </c>
      <c r="K114" s="85">
        <v>124</v>
      </c>
      <c r="L114" s="71" t="s">
        <v>14</v>
      </c>
      <c r="M114" s="21" t="s">
        <v>40</v>
      </c>
      <c r="N114" s="71" t="s">
        <v>20</v>
      </c>
      <c r="O114" s="21" t="s">
        <v>562</v>
      </c>
    </row>
    <row r="115" spans="1:15" ht="15.75" thickBot="1">
      <c r="A115" s="17" t="s">
        <v>402</v>
      </c>
      <c r="B115" s="84">
        <v>75</v>
      </c>
      <c r="C115" s="85">
        <v>75</v>
      </c>
      <c r="D115" s="84">
        <v>75</v>
      </c>
      <c r="E115" s="85">
        <v>75</v>
      </c>
      <c r="F115" s="84">
        <v>75</v>
      </c>
      <c r="G115" s="85">
        <v>75</v>
      </c>
      <c r="H115" s="84">
        <v>75</v>
      </c>
      <c r="I115" s="85">
        <v>75</v>
      </c>
      <c r="J115" s="84">
        <v>75</v>
      </c>
      <c r="K115" s="85">
        <v>75</v>
      </c>
      <c r="L115" s="71" t="s">
        <v>14</v>
      </c>
      <c r="M115" s="21" t="s">
        <v>40</v>
      </c>
      <c r="N115" s="71" t="s">
        <v>20</v>
      </c>
      <c r="O115" s="21" t="s">
        <v>562</v>
      </c>
    </row>
    <row r="116" spans="1:15" ht="15.75" thickBot="1">
      <c r="A116" s="17" t="s">
        <v>406</v>
      </c>
      <c r="B116" s="84">
        <v>0</v>
      </c>
      <c r="C116" s="85">
        <v>52.5</v>
      </c>
      <c r="D116" s="84">
        <v>52.5</v>
      </c>
      <c r="E116" s="85">
        <v>52.5</v>
      </c>
      <c r="F116" s="84">
        <v>52.5</v>
      </c>
      <c r="G116" s="85">
        <v>52.5</v>
      </c>
      <c r="H116" s="84">
        <v>52.5</v>
      </c>
      <c r="I116" s="85">
        <v>52.5</v>
      </c>
      <c r="J116" s="84">
        <v>52.5</v>
      </c>
      <c r="K116" s="85">
        <v>52.5</v>
      </c>
      <c r="L116" s="71" t="s">
        <v>14</v>
      </c>
      <c r="M116" s="21" t="s">
        <v>40</v>
      </c>
      <c r="N116" s="71" t="s">
        <v>20</v>
      </c>
      <c r="O116" s="21" t="s">
        <v>562</v>
      </c>
    </row>
    <row r="117" spans="1:15" ht="15.75" thickBot="1">
      <c r="A117" s="17" t="s">
        <v>748</v>
      </c>
      <c r="B117" s="84">
        <v>0</v>
      </c>
      <c r="C117" s="85">
        <v>0</v>
      </c>
      <c r="D117" s="84">
        <v>64.2</v>
      </c>
      <c r="E117" s="85">
        <v>64.2</v>
      </c>
      <c r="F117" s="84">
        <v>64.2</v>
      </c>
      <c r="G117" s="85">
        <v>64.2</v>
      </c>
      <c r="H117" s="84">
        <v>64.2</v>
      </c>
      <c r="I117" s="85">
        <v>64.2</v>
      </c>
      <c r="J117" s="84">
        <v>64.2</v>
      </c>
      <c r="K117" s="85">
        <v>64.2</v>
      </c>
      <c r="L117" s="71" t="s">
        <v>14</v>
      </c>
      <c r="M117" s="21" t="s">
        <v>40</v>
      </c>
      <c r="N117" s="71" t="s">
        <v>20</v>
      </c>
      <c r="O117" s="21" t="s">
        <v>562</v>
      </c>
    </row>
    <row r="118" spans="1:15" ht="15.75" thickBot="1">
      <c r="A118" s="17" t="s">
        <v>125</v>
      </c>
      <c r="B118" s="84">
        <v>57.5</v>
      </c>
      <c r="C118" s="85">
        <v>57.5</v>
      </c>
      <c r="D118" s="84">
        <v>57.5</v>
      </c>
      <c r="E118" s="85">
        <v>57.5</v>
      </c>
      <c r="F118" s="84">
        <v>57.5</v>
      </c>
      <c r="G118" s="85">
        <v>57.5</v>
      </c>
      <c r="H118" s="84">
        <v>57.5</v>
      </c>
      <c r="I118" s="85">
        <v>57.5</v>
      </c>
      <c r="J118" s="84">
        <v>57.5</v>
      </c>
      <c r="K118" s="85">
        <v>57.5</v>
      </c>
      <c r="L118" s="71" t="s">
        <v>14</v>
      </c>
      <c r="M118" s="21" t="s">
        <v>40</v>
      </c>
      <c r="N118" s="71" t="s">
        <v>20</v>
      </c>
      <c r="O118" s="21" t="s">
        <v>562</v>
      </c>
    </row>
    <row r="119" spans="1:15" ht="15.75" thickBot="1">
      <c r="A119" s="17" t="s">
        <v>423</v>
      </c>
      <c r="B119" s="84">
        <v>0</v>
      </c>
      <c r="C119" s="85">
        <v>102.5</v>
      </c>
      <c r="D119" s="84">
        <v>102.5</v>
      </c>
      <c r="E119" s="85">
        <v>102.5</v>
      </c>
      <c r="F119" s="84">
        <v>102.5</v>
      </c>
      <c r="G119" s="85">
        <v>102.5</v>
      </c>
      <c r="H119" s="84">
        <v>102.5</v>
      </c>
      <c r="I119" s="85">
        <v>102.5</v>
      </c>
      <c r="J119" s="84">
        <v>102.5</v>
      </c>
      <c r="K119" s="85">
        <v>102.5</v>
      </c>
      <c r="L119" s="71" t="s">
        <v>14</v>
      </c>
      <c r="M119" s="21" t="s">
        <v>40</v>
      </c>
      <c r="N119" s="71" t="s">
        <v>20</v>
      </c>
      <c r="O119" s="21" t="s">
        <v>562</v>
      </c>
    </row>
    <row r="120" spans="1:15" ht="15.75" thickBot="1">
      <c r="A120" s="78"/>
      <c r="B120" s="86"/>
      <c r="C120" s="86"/>
      <c r="D120" s="86"/>
      <c r="E120" s="86"/>
      <c r="F120" s="86"/>
      <c r="G120" s="86"/>
      <c r="H120" s="86"/>
      <c r="I120" s="86"/>
      <c r="J120" s="86"/>
      <c r="K120" s="86"/>
      <c r="L120" s="78"/>
      <c r="M120" s="78"/>
      <c r="N120" s="78"/>
      <c r="O120" s="78"/>
    </row>
    <row r="121" spans="1:15" ht="15.75" thickBot="1">
      <c r="A121" s="51" t="s">
        <v>573</v>
      </c>
      <c r="B121" s="87">
        <f>SUMIF(Query1[[FuelType]:[FuelType]],"Wind",Query1[201819])</f>
        <v>180.45</v>
      </c>
      <c r="C121" s="87">
        <f>SUMIF(Query1[[FuelType]:[FuelType]],"Wind",Query1[201920])</f>
        <v>676.65</v>
      </c>
      <c r="D121" s="87">
        <f>SUMIF(Query1[[FuelType]:[FuelType]],"Wind",Query1[202021])</f>
        <v>676.65</v>
      </c>
      <c r="E121" s="87">
        <f>SUMIF(Query1[[FuelType]:[FuelType]],"Wind",Query1[202122])</f>
        <v>676.65</v>
      </c>
      <c r="F121" s="87">
        <f>SUMIF(Query1[[FuelType]:[FuelType]],"Wind",Query1[202223])</f>
        <v>676.65</v>
      </c>
      <c r="G121" s="87">
        <f>SUMIF(Query1[[FuelType]:[FuelType]],"Wind",Query1[202324])</f>
        <v>676.65</v>
      </c>
      <c r="H121" s="87">
        <f>SUMIF(Query1[[FuelType]:[FuelType]],"Wind",Query1[202425])</f>
        <v>676.65</v>
      </c>
      <c r="I121" s="87">
        <f>SUMIF(Query1[[FuelType]:[FuelType]],"Wind",Query1[202526])</f>
        <v>676.65</v>
      </c>
      <c r="J121" s="87">
        <f>SUMIF(Query1[[FuelType]:[FuelType]],"Wind",Query1[202627])</f>
        <v>676.65</v>
      </c>
      <c r="K121" s="87">
        <f>SUMIF(Query1[[FuelType]:[FuelType]],"Wind",Query1[202728])</f>
        <v>676.65</v>
      </c>
      <c r="L121" s="52"/>
    </row>
    <row r="122" spans="1:15" ht="15.75" thickBot="1">
      <c r="A122" s="51" t="s">
        <v>574</v>
      </c>
      <c r="B122" s="87">
        <f>SUMIF(Query1[[FuelType]:[FuelType]],"Solar",Query1[201819])</f>
        <v>1397.5</v>
      </c>
      <c r="C122" s="87">
        <f>SUMIF(Query1[[FuelType]:[FuelType]],"Solar",Query1[201920])</f>
        <v>1646.1</v>
      </c>
      <c r="D122" s="87">
        <f>SUMIF(Query1[[FuelType]:[FuelType]],"Solar",Query1[202021])</f>
        <v>1743.4</v>
      </c>
      <c r="E122" s="87">
        <f>SUMIF(Query1[[FuelType]:[FuelType]],"Solar",Query1[202122])</f>
        <v>1742</v>
      </c>
      <c r="F122" s="87">
        <f>SUMIF(Query1[[FuelType]:[FuelType]],"Solar",Query1[202223])</f>
        <v>1740.6000000000001</v>
      </c>
      <c r="G122" s="87">
        <f>SUMIF(Query1[[FuelType]:[FuelType]],"Solar",Query1[202324])</f>
        <v>1739.2</v>
      </c>
      <c r="H122" s="87">
        <f>SUMIF(Query1[[FuelType]:[FuelType]],"Solar",Query1[202425])</f>
        <v>1738</v>
      </c>
      <c r="I122" s="87">
        <f>SUMIF(Query1[[FuelType]:[FuelType]],"Solar",Query1[202526])</f>
        <v>1736.6000000000001</v>
      </c>
      <c r="J122" s="87">
        <f>SUMIF(Query1[[FuelType]:[FuelType]],"Solar",Query1[202627])</f>
        <v>1735.2</v>
      </c>
      <c r="K122" s="87">
        <f>SUMIF(Query1[[FuelType]:[FuelType]],"Solar",Query1[202728])</f>
        <v>1734</v>
      </c>
      <c r="L122" s="52"/>
    </row>
    <row r="123" spans="1:15" ht="15.75" thickBot="1">
      <c r="A123" s="51" t="s">
        <v>575</v>
      </c>
      <c r="B123" s="87">
        <f>SUMIF(Query1[[FuelType]:[FuelType]],"Storage",Query1[201819])</f>
        <v>0</v>
      </c>
      <c r="C123" s="87">
        <f>SUMIF(Query1[[FuelType]:[FuelType]],"Storage",Query1[201920])</f>
        <v>0</v>
      </c>
      <c r="D123" s="87">
        <f>SUMIF(Query1[[FuelType]:[FuelType]],"Storage",Query1[202021])</f>
        <v>0</v>
      </c>
      <c r="E123" s="87">
        <f>SUMIF(Query1[[FuelType]:[FuelType]],"Storage",Query1[202122])</f>
        <v>0</v>
      </c>
      <c r="F123" s="87">
        <f>SUMIF(Query1[[FuelType]:[FuelType]],"Storage",Query1[202223])</f>
        <v>0</v>
      </c>
      <c r="G123" s="87">
        <f>SUMIF(Query1[[FuelType]:[FuelType]],"Storage",Query1[202324])</f>
        <v>0</v>
      </c>
      <c r="H123" s="87">
        <f>SUMIF(Query1[[FuelType]:[FuelType]],"Storage",Query1[202425])</f>
        <v>0</v>
      </c>
      <c r="I123" s="87">
        <f>SUMIF(Query1[[FuelType]:[FuelType]],"Storage",Query1[202526])</f>
        <v>0</v>
      </c>
      <c r="J123" s="87">
        <f>SUMIF(Query1[[FuelType]:[FuelType]],"Storage",Query1[202627])</f>
        <v>0</v>
      </c>
      <c r="K123" s="87">
        <f>SUMIF(Query1[[FuelType]:[FuelType]],"Storage",Query1[202728])</f>
        <v>0</v>
      </c>
      <c r="L123" s="52"/>
    </row>
  </sheetData>
  <mergeCells count="5">
    <mergeCell ref="A56:L56"/>
    <mergeCell ref="A57:L57"/>
    <mergeCell ref="A58:L58"/>
    <mergeCell ref="A59:L59"/>
    <mergeCell ref="A55:L55"/>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3"/>
  <sheetViews>
    <sheetView workbookViewId="0"/>
  </sheetViews>
  <sheetFormatPr defaultColWidth="9.140625" defaultRowHeight="15"/>
  <cols>
    <col min="1" max="1" width="30.5703125" style="25" bestFit="1" customWidth="1"/>
    <col min="2" max="11" width="9"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576</v>
      </c>
    </row>
    <row r="2" spans="1:15" ht="15.75" thickBot="1">
      <c r="A2" s="81" t="s">
        <v>558</v>
      </c>
      <c r="B2" s="81" t="s">
        <v>643</v>
      </c>
      <c r="C2" s="81" t="s">
        <v>644</v>
      </c>
      <c r="D2" s="81" t="s">
        <v>645</v>
      </c>
      <c r="E2" s="81" t="s">
        <v>646</v>
      </c>
      <c r="F2" s="81" t="s">
        <v>647</v>
      </c>
      <c r="G2" s="81" t="s">
        <v>648</v>
      </c>
      <c r="H2" s="81" t="s">
        <v>649</v>
      </c>
      <c r="I2" s="81" t="s">
        <v>650</v>
      </c>
      <c r="J2" s="81" t="s">
        <v>651</v>
      </c>
      <c r="K2" s="81" t="s">
        <v>652</v>
      </c>
      <c r="L2" s="81" t="s">
        <v>653</v>
      </c>
      <c r="M2" s="53" t="s">
        <v>559</v>
      </c>
      <c r="N2" s="53" t="s">
        <v>7</v>
      </c>
      <c r="O2" s="53" t="s">
        <v>560</v>
      </c>
    </row>
    <row r="3" spans="1:15" ht="15.75" thickBot="1">
      <c r="A3" s="18" t="s">
        <v>17</v>
      </c>
      <c r="B3" s="82">
        <v>37</v>
      </c>
      <c r="C3" s="83">
        <v>37</v>
      </c>
      <c r="D3" s="82">
        <v>37</v>
      </c>
      <c r="E3" s="83">
        <v>37</v>
      </c>
      <c r="F3" s="82">
        <v>37</v>
      </c>
      <c r="G3" s="83">
        <v>37</v>
      </c>
      <c r="H3" s="82">
        <v>37</v>
      </c>
      <c r="I3" s="83">
        <v>37</v>
      </c>
      <c r="J3" s="82">
        <v>37</v>
      </c>
      <c r="K3" s="83">
        <v>37</v>
      </c>
      <c r="L3" s="72" t="s">
        <v>10</v>
      </c>
      <c r="M3" s="22" t="s">
        <v>561</v>
      </c>
      <c r="N3" s="72" t="s">
        <v>20</v>
      </c>
      <c r="O3" s="22" t="s">
        <v>577</v>
      </c>
    </row>
    <row r="4" spans="1:15" ht="15.75" thickBot="1">
      <c r="A4" s="17" t="s">
        <v>21</v>
      </c>
      <c r="B4" s="84">
        <v>66</v>
      </c>
      <c r="C4" s="85">
        <v>66</v>
      </c>
      <c r="D4" s="84">
        <v>66</v>
      </c>
      <c r="E4" s="85">
        <v>66</v>
      </c>
      <c r="F4" s="84">
        <v>66</v>
      </c>
      <c r="G4" s="85">
        <v>66</v>
      </c>
      <c r="H4" s="84">
        <v>66</v>
      </c>
      <c r="I4" s="85">
        <v>66</v>
      </c>
      <c r="J4" s="84">
        <v>66</v>
      </c>
      <c r="K4" s="85">
        <v>66</v>
      </c>
      <c r="L4" s="71" t="s">
        <v>10</v>
      </c>
      <c r="M4" s="21" t="s">
        <v>563</v>
      </c>
      <c r="N4" s="71" t="s">
        <v>20</v>
      </c>
      <c r="O4" s="21" t="s">
        <v>577</v>
      </c>
    </row>
    <row r="5" spans="1:15" ht="15.75" thickBot="1">
      <c r="A5" s="17" t="s">
        <v>31</v>
      </c>
      <c r="B5" s="84">
        <v>530</v>
      </c>
      <c r="C5" s="85">
        <v>530</v>
      </c>
      <c r="D5" s="84">
        <v>530</v>
      </c>
      <c r="E5" s="85">
        <v>530</v>
      </c>
      <c r="F5" s="84">
        <v>543</v>
      </c>
      <c r="G5" s="85">
        <v>543</v>
      </c>
      <c r="H5" s="84">
        <v>543</v>
      </c>
      <c r="I5" s="85">
        <v>543</v>
      </c>
      <c r="J5" s="84">
        <v>543</v>
      </c>
      <c r="K5" s="85">
        <v>543</v>
      </c>
      <c r="L5" s="71" t="s">
        <v>10</v>
      </c>
      <c r="M5" s="21" t="s">
        <v>561</v>
      </c>
      <c r="N5" s="71" t="s">
        <v>20</v>
      </c>
      <c r="O5" s="21" t="s">
        <v>577</v>
      </c>
    </row>
    <row r="6" spans="1:15" ht="15.75" thickBot="1">
      <c r="A6" s="17" t="s">
        <v>35</v>
      </c>
      <c r="B6" s="84">
        <v>519</v>
      </c>
      <c r="C6" s="85">
        <v>519</v>
      </c>
      <c r="D6" s="84">
        <v>519</v>
      </c>
      <c r="E6" s="85">
        <v>519</v>
      </c>
      <c r="F6" s="84">
        <v>519</v>
      </c>
      <c r="G6" s="85">
        <v>519</v>
      </c>
      <c r="H6" s="84">
        <v>519</v>
      </c>
      <c r="I6" s="85">
        <v>519</v>
      </c>
      <c r="J6" s="84">
        <v>519</v>
      </c>
      <c r="K6" s="85">
        <v>519</v>
      </c>
      <c r="L6" s="71" t="s">
        <v>10</v>
      </c>
      <c r="M6" s="21" t="s">
        <v>561</v>
      </c>
      <c r="N6" s="71" t="s">
        <v>20</v>
      </c>
      <c r="O6" s="21" t="s">
        <v>577</v>
      </c>
    </row>
    <row r="7" spans="1:15" ht="15.75" thickBot="1">
      <c r="A7" s="17" t="s">
        <v>736</v>
      </c>
      <c r="B7" s="84">
        <v>0</v>
      </c>
      <c r="C7" s="85">
        <v>34.5</v>
      </c>
      <c r="D7" s="84">
        <v>34.5</v>
      </c>
      <c r="E7" s="85">
        <v>34.5</v>
      </c>
      <c r="F7" s="84">
        <v>34.5</v>
      </c>
      <c r="G7" s="85">
        <v>34.5</v>
      </c>
      <c r="H7" s="84">
        <v>34.5</v>
      </c>
      <c r="I7" s="85">
        <v>34.5</v>
      </c>
      <c r="J7" s="84">
        <v>34.5</v>
      </c>
      <c r="K7" s="85">
        <v>34.5</v>
      </c>
      <c r="L7" s="71" t="s">
        <v>14</v>
      </c>
      <c r="M7" s="21" t="s">
        <v>40</v>
      </c>
      <c r="N7" s="71" t="s">
        <v>20</v>
      </c>
      <c r="O7" s="21" t="s">
        <v>577</v>
      </c>
    </row>
    <row r="8" spans="1:15" ht="15.75" thickBot="1">
      <c r="A8" s="17" t="s">
        <v>41</v>
      </c>
      <c r="B8" s="84">
        <v>700</v>
      </c>
      <c r="C8" s="85">
        <v>700</v>
      </c>
      <c r="D8" s="84">
        <v>700</v>
      </c>
      <c r="E8" s="85">
        <v>700</v>
      </c>
      <c r="F8" s="84">
        <v>700</v>
      </c>
      <c r="G8" s="85">
        <v>700</v>
      </c>
      <c r="H8" s="84">
        <v>700</v>
      </c>
      <c r="I8" s="85">
        <v>700</v>
      </c>
      <c r="J8" s="84">
        <v>700</v>
      </c>
      <c r="K8" s="85">
        <v>700</v>
      </c>
      <c r="L8" s="71" t="s">
        <v>10</v>
      </c>
      <c r="M8" s="21" t="s">
        <v>561</v>
      </c>
      <c r="N8" s="71" t="s">
        <v>20</v>
      </c>
      <c r="O8" s="21" t="s">
        <v>577</v>
      </c>
    </row>
    <row r="9" spans="1:15" ht="15.75" thickBot="1">
      <c r="A9" s="17" t="s">
        <v>44</v>
      </c>
      <c r="B9" s="84">
        <v>840</v>
      </c>
      <c r="C9" s="85">
        <v>840</v>
      </c>
      <c r="D9" s="84">
        <v>840</v>
      </c>
      <c r="E9" s="85">
        <v>840</v>
      </c>
      <c r="F9" s="84">
        <v>840</v>
      </c>
      <c r="G9" s="85">
        <v>840</v>
      </c>
      <c r="H9" s="84">
        <v>840</v>
      </c>
      <c r="I9" s="85">
        <v>840</v>
      </c>
      <c r="J9" s="84">
        <v>840</v>
      </c>
      <c r="K9" s="85">
        <v>840</v>
      </c>
      <c r="L9" s="71" t="s">
        <v>10</v>
      </c>
      <c r="M9" s="21" t="s">
        <v>561</v>
      </c>
      <c r="N9" s="71" t="s">
        <v>20</v>
      </c>
      <c r="O9" s="21" t="s">
        <v>577</v>
      </c>
    </row>
    <row r="10" spans="1:15" ht="15.75" thickBot="1">
      <c r="A10" s="17" t="s">
        <v>296</v>
      </c>
      <c r="B10" s="84">
        <v>56</v>
      </c>
      <c r="C10" s="85">
        <v>56</v>
      </c>
      <c r="D10" s="84">
        <v>56</v>
      </c>
      <c r="E10" s="85">
        <v>56</v>
      </c>
      <c r="F10" s="84">
        <v>56</v>
      </c>
      <c r="G10" s="85">
        <v>56</v>
      </c>
      <c r="H10" s="84">
        <v>56</v>
      </c>
      <c r="I10" s="85">
        <v>56</v>
      </c>
      <c r="J10" s="84">
        <v>56</v>
      </c>
      <c r="K10" s="85">
        <v>56</v>
      </c>
      <c r="L10" s="71" t="s">
        <v>14</v>
      </c>
      <c r="M10" s="21" t="s">
        <v>40</v>
      </c>
      <c r="N10" s="71" t="s">
        <v>20</v>
      </c>
      <c r="O10" s="21" t="s">
        <v>577</v>
      </c>
    </row>
    <row r="11" spans="1:15" ht="15.75" thickBot="1">
      <c r="A11" s="17" t="s">
        <v>48</v>
      </c>
      <c r="B11" s="84">
        <v>80.400000000000006</v>
      </c>
      <c r="C11" s="85">
        <v>79.8</v>
      </c>
      <c r="D11" s="84">
        <v>79.2</v>
      </c>
      <c r="E11" s="85">
        <v>78.7</v>
      </c>
      <c r="F11" s="84">
        <v>78.099999999999994</v>
      </c>
      <c r="G11" s="85">
        <v>77.599999999999994</v>
      </c>
      <c r="H11" s="84">
        <v>77</v>
      </c>
      <c r="I11" s="85">
        <v>76.5</v>
      </c>
      <c r="J11" s="84">
        <v>76</v>
      </c>
      <c r="K11" s="85">
        <v>75.400000000000006</v>
      </c>
      <c r="L11" s="71" t="s">
        <v>14</v>
      </c>
      <c r="M11" s="21" t="s">
        <v>40</v>
      </c>
      <c r="N11" s="71" t="s">
        <v>20</v>
      </c>
      <c r="O11" s="21" t="s">
        <v>577</v>
      </c>
    </row>
    <row r="12" spans="1:15" ht="15.75" thickBot="1">
      <c r="A12" s="17" t="s">
        <v>100</v>
      </c>
      <c r="B12" s="84">
        <v>75</v>
      </c>
      <c r="C12" s="85">
        <v>75</v>
      </c>
      <c r="D12" s="84">
        <v>75</v>
      </c>
      <c r="E12" s="85">
        <v>75</v>
      </c>
      <c r="F12" s="84">
        <v>75</v>
      </c>
      <c r="G12" s="85">
        <v>75</v>
      </c>
      <c r="H12" s="84">
        <v>75</v>
      </c>
      <c r="I12" s="85">
        <v>75</v>
      </c>
      <c r="J12" s="84">
        <v>75</v>
      </c>
      <c r="K12" s="85">
        <v>75</v>
      </c>
      <c r="L12" s="71" t="s">
        <v>14</v>
      </c>
      <c r="M12" s="21" t="s">
        <v>40</v>
      </c>
      <c r="N12" s="71" t="s">
        <v>20</v>
      </c>
      <c r="O12" s="21" t="s">
        <v>577</v>
      </c>
    </row>
    <row r="13" spans="1:15" ht="15.75" thickBot="1">
      <c r="A13" s="17" t="s">
        <v>102</v>
      </c>
      <c r="B13" s="84">
        <v>42.5</v>
      </c>
      <c r="C13" s="85">
        <v>42.5</v>
      </c>
      <c r="D13" s="84">
        <v>42.5</v>
      </c>
      <c r="E13" s="85">
        <v>42.5</v>
      </c>
      <c r="F13" s="84">
        <v>42.5</v>
      </c>
      <c r="G13" s="85">
        <v>42.5</v>
      </c>
      <c r="H13" s="84">
        <v>42.5</v>
      </c>
      <c r="I13" s="85">
        <v>42.5</v>
      </c>
      <c r="J13" s="84">
        <v>42.5</v>
      </c>
      <c r="K13" s="85">
        <v>42.5</v>
      </c>
      <c r="L13" s="71" t="s">
        <v>14</v>
      </c>
      <c r="M13" s="21" t="s">
        <v>40</v>
      </c>
      <c r="N13" s="71" t="s">
        <v>20</v>
      </c>
      <c r="O13" s="21" t="s">
        <v>577</v>
      </c>
    </row>
    <row r="14" spans="1:15" ht="15.75" thickBot="1">
      <c r="A14" s="17" t="s">
        <v>52</v>
      </c>
      <c r="B14" s="84">
        <v>100</v>
      </c>
      <c r="C14" s="85">
        <v>100</v>
      </c>
      <c r="D14" s="84">
        <v>100</v>
      </c>
      <c r="E14" s="85">
        <v>100</v>
      </c>
      <c r="F14" s="84">
        <v>100</v>
      </c>
      <c r="G14" s="85">
        <v>100</v>
      </c>
      <c r="H14" s="84">
        <v>100</v>
      </c>
      <c r="I14" s="85">
        <v>100</v>
      </c>
      <c r="J14" s="84">
        <v>100</v>
      </c>
      <c r="K14" s="85">
        <v>100</v>
      </c>
      <c r="L14" s="71" t="s">
        <v>10</v>
      </c>
      <c r="M14" s="21" t="s">
        <v>561</v>
      </c>
      <c r="N14" s="71" t="s">
        <v>20</v>
      </c>
      <c r="O14" s="21" t="s">
        <v>577</v>
      </c>
    </row>
    <row r="15" spans="1:15" ht="15.75" thickBot="1">
      <c r="A15" s="17" t="s">
        <v>734</v>
      </c>
      <c r="B15" s="84">
        <v>326</v>
      </c>
      <c r="C15" s="85">
        <v>453</v>
      </c>
      <c r="D15" s="84">
        <v>453</v>
      </c>
      <c r="E15" s="85">
        <v>453</v>
      </c>
      <c r="F15" s="84">
        <v>453</v>
      </c>
      <c r="G15" s="85">
        <v>453</v>
      </c>
      <c r="H15" s="84">
        <v>453</v>
      </c>
      <c r="I15" s="85">
        <v>453</v>
      </c>
      <c r="J15" s="84">
        <v>453</v>
      </c>
      <c r="K15" s="85">
        <v>453</v>
      </c>
      <c r="L15" s="71" t="s">
        <v>14</v>
      </c>
      <c r="M15" s="21" t="s">
        <v>13</v>
      </c>
      <c r="N15" s="71" t="s">
        <v>20</v>
      </c>
      <c r="O15" s="21" t="s">
        <v>577</v>
      </c>
    </row>
    <row r="16" spans="1:15" ht="15.75" thickBot="1">
      <c r="A16" s="17" t="s">
        <v>56</v>
      </c>
      <c r="B16" s="84">
        <v>633</v>
      </c>
      <c r="C16" s="85">
        <v>633</v>
      </c>
      <c r="D16" s="84">
        <v>633</v>
      </c>
      <c r="E16" s="85">
        <v>633</v>
      </c>
      <c r="F16" s="84">
        <v>633</v>
      </c>
      <c r="G16" s="85">
        <v>633</v>
      </c>
      <c r="H16" s="84">
        <v>633</v>
      </c>
      <c r="I16" s="85">
        <v>633</v>
      </c>
      <c r="J16" s="84">
        <v>633</v>
      </c>
      <c r="K16" s="85">
        <v>633</v>
      </c>
      <c r="L16" s="71" t="s">
        <v>10</v>
      </c>
      <c r="M16" s="21" t="s">
        <v>561</v>
      </c>
      <c r="N16" s="71" t="s">
        <v>20</v>
      </c>
      <c r="O16" s="21" t="s">
        <v>577</v>
      </c>
    </row>
    <row r="17" spans="1:15" ht="15.75" thickBot="1">
      <c r="A17" s="17" t="s">
        <v>104</v>
      </c>
      <c r="B17" s="84">
        <v>108.5</v>
      </c>
      <c r="C17" s="85">
        <v>108.5</v>
      </c>
      <c r="D17" s="84">
        <v>108.5</v>
      </c>
      <c r="E17" s="85">
        <v>108.5</v>
      </c>
      <c r="F17" s="84">
        <v>108.5</v>
      </c>
      <c r="G17" s="85">
        <v>108.5</v>
      </c>
      <c r="H17" s="84">
        <v>108.5</v>
      </c>
      <c r="I17" s="85">
        <v>108.5</v>
      </c>
      <c r="J17" s="84">
        <v>108.5</v>
      </c>
      <c r="K17" s="85">
        <v>108.5</v>
      </c>
      <c r="L17" s="71" t="s">
        <v>14</v>
      </c>
      <c r="M17" s="21" t="s">
        <v>40</v>
      </c>
      <c r="N17" s="71" t="s">
        <v>20</v>
      </c>
      <c r="O17" s="21" t="s">
        <v>577</v>
      </c>
    </row>
    <row r="18" spans="1:15" ht="15.75" thickBot="1">
      <c r="A18" s="17" t="s">
        <v>105</v>
      </c>
      <c r="B18" s="84">
        <v>0</v>
      </c>
      <c r="C18" s="85">
        <v>150</v>
      </c>
      <c r="D18" s="84">
        <v>150</v>
      </c>
      <c r="E18" s="85">
        <v>150</v>
      </c>
      <c r="F18" s="84">
        <v>150</v>
      </c>
      <c r="G18" s="85">
        <v>150</v>
      </c>
      <c r="H18" s="84">
        <v>150</v>
      </c>
      <c r="I18" s="85">
        <v>150</v>
      </c>
      <c r="J18" s="84">
        <v>150</v>
      </c>
      <c r="K18" s="85">
        <v>150</v>
      </c>
      <c r="L18" s="71" t="s">
        <v>14</v>
      </c>
      <c r="M18" s="21" t="s">
        <v>40</v>
      </c>
      <c r="N18" s="71" t="s">
        <v>20</v>
      </c>
      <c r="O18" s="21" t="s">
        <v>577</v>
      </c>
    </row>
    <row r="19" spans="1:15" ht="23.25" thickBot="1">
      <c r="A19" s="17" t="s">
        <v>737</v>
      </c>
      <c r="B19" s="84">
        <v>72</v>
      </c>
      <c r="C19" s="85">
        <v>72</v>
      </c>
      <c r="D19" s="84">
        <v>72</v>
      </c>
      <c r="E19" s="85">
        <v>72</v>
      </c>
      <c r="F19" s="84">
        <v>72</v>
      </c>
      <c r="G19" s="85">
        <v>72</v>
      </c>
      <c r="H19" s="84">
        <v>72</v>
      </c>
      <c r="I19" s="85">
        <v>72</v>
      </c>
      <c r="J19" s="84">
        <v>72</v>
      </c>
      <c r="K19" s="85">
        <v>72</v>
      </c>
      <c r="L19" s="71" t="s">
        <v>14</v>
      </c>
      <c r="M19" s="21" t="s">
        <v>40</v>
      </c>
      <c r="N19" s="71" t="s">
        <v>20</v>
      </c>
      <c r="O19" s="21" t="s">
        <v>577</v>
      </c>
    </row>
    <row r="20" spans="1:15" ht="15.75" thickBot="1">
      <c r="A20" s="17" t="s">
        <v>59</v>
      </c>
      <c r="B20" s="84">
        <v>1680</v>
      </c>
      <c r="C20" s="85">
        <v>1680</v>
      </c>
      <c r="D20" s="84">
        <v>1680</v>
      </c>
      <c r="E20" s="85">
        <v>1680</v>
      </c>
      <c r="F20" s="84">
        <v>1680</v>
      </c>
      <c r="G20" s="85">
        <v>1680</v>
      </c>
      <c r="H20" s="84">
        <v>1680</v>
      </c>
      <c r="I20" s="85">
        <v>1680</v>
      </c>
      <c r="J20" s="84">
        <v>1680</v>
      </c>
      <c r="K20" s="85">
        <v>1680</v>
      </c>
      <c r="L20" s="71" t="s">
        <v>10</v>
      </c>
      <c r="M20" s="21" t="s">
        <v>561</v>
      </c>
      <c r="N20" s="71" t="s">
        <v>20</v>
      </c>
      <c r="O20" s="21" t="s">
        <v>577</v>
      </c>
    </row>
    <row r="21" spans="1:15" ht="15.75" thickBot="1">
      <c r="A21" s="17" t="s">
        <v>338</v>
      </c>
      <c r="B21" s="84">
        <v>57.5</v>
      </c>
      <c r="C21" s="85">
        <v>57.5</v>
      </c>
      <c r="D21" s="84">
        <v>57.5</v>
      </c>
      <c r="E21" s="85">
        <v>57.5</v>
      </c>
      <c r="F21" s="84">
        <v>57.5</v>
      </c>
      <c r="G21" s="85">
        <v>57.5</v>
      </c>
      <c r="H21" s="84">
        <v>57.5</v>
      </c>
      <c r="I21" s="85">
        <v>57.5</v>
      </c>
      <c r="J21" s="84">
        <v>57.5</v>
      </c>
      <c r="K21" s="85">
        <v>57.5</v>
      </c>
      <c r="L21" s="71" t="s">
        <v>14</v>
      </c>
      <c r="M21" s="21" t="s">
        <v>40</v>
      </c>
      <c r="N21" s="71" t="s">
        <v>20</v>
      </c>
      <c r="O21" s="21" t="s">
        <v>577</v>
      </c>
    </row>
    <row r="22" spans="1:15" ht="15.75" thickBot="1">
      <c r="A22" s="17" t="s">
        <v>107</v>
      </c>
      <c r="B22" s="84">
        <v>97.9</v>
      </c>
      <c r="C22" s="85">
        <v>97.3</v>
      </c>
      <c r="D22" s="84">
        <v>96.7</v>
      </c>
      <c r="E22" s="85">
        <v>96.1</v>
      </c>
      <c r="F22" s="84">
        <v>95.5</v>
      </c>
      <c r="G22" s="85">
        <v>95</v>
      </c>
      <c r="H22" s="84">
        <v>94.4</v>
      </c>
      <c r="I22" s="85">
        <v>93.8</v>
      </c>
      <c r="J22" s="84">
        <v>93.2</v>
      </c>
      <c r="K22" s="85">
        <v>92.6</v>
      </c>
      <c r="L22" s="71" t="s">
        <v>14</v>
      </c>
      <c r="M22" s="21" t="s">
        <v>40</v>
      </c>
      <c r="N22" s="71" t="s">
        <v>20</v>
      </c>
      <c r="O22" s="21" t="s">
        <v>577</v>
      </c>
    </row>
    <row r="23" spans="1:15" ht="15.75" thickBot="1">
      <c r="A23" s="17" t="s">
        <v>109</v>
      </c>
      <c r="B23" s="84">
        <v>0</v>
      </c>
      <c r="C23" s="85">
        <v>50</v>
      </c>
      <c r="D23" s="84">
        <v>50</v>
      </c>
      <c r="E23" s="85">
        <v>50</v>
      </c>
      <c r="F23" s="84">
        <v>50</v>
      </c>
      <c r="G23" s="85">
        <v>50</v>
      </c>
      <c r="H23" s="84">
        <v>50</v>
      </c>
      <c r="I23" s="85">
        <v>50</v>
      </c>
      <c r="J23" s="84">
        <v>50</v>
      </c>
      <c r="K23" s="85">
        <v>50</v>
      </c>
      <c r="L23" s="71" t="s">
        <v>14</v>
      </c>
      <c r="M23" s="21" t="s">
        <v>40</v>
      </c>
      <c r="N23" s="71" t="s">
        <v>20</v>
      </c>
      <c r="O23" s="21" t="s">
        <v>577</v>
      </c>
    </row>
    <row r="24" spans="1:15" ht="15.75" thickBot="1">
      <c r="A24" s="17" t="s">
        <v>62</v>
      </c>
      <c r="B24" s="84">
        <v>86.4</v>
      </c>
      <c r="C24" s="85">
        <v>86.4</v>
      </c>
      <c r="D24" s="84">
        <v>86.4</v>
      </c>
      <c r="E24" s="85">
        <v>86.4</v>
      </c>
      <c r="F24" s="84">
        <v>86.4</v>
      </c>
      <c r="G24" s="85">
        <v>86.4</v>
      </c>
      <c r="H24" s="84">
        <v>86.4</v>
      </c>
      <c r="I24" s="85">
        <v>86.4</v>
      </c>
      <c r="J24" s="84">
        <v>86.4</v>
      </c>
      <c r="K24" s="85">
        <v>86.4</v>
      </c>
      <c r="L24" s="71" t="s">
        <v>10</v>
      </c>
      <c r="M24" s="21" t="s">
        <v>563</v>
      </c>
      <c r="N24" s="71" t="s">
        <v>20</v>
      </c>
      <c r="O24" s="21" t="s">
        <v>577</v>
      </c>
    </row>
    <row r="25" spans="1:15" ht="15.75" thickBot="1">
      <c r="A25" s="17" t="s">
        <v>110</v>
      </c>
      <c r="B25" s="84">
        <v>15</v>
      </c>
      <c r="C25" s="85">
        <v>15</v>
      </c>
      <c r="D25" s="84">
        <v>15</v>
      </c>
      <c r="E25" s="85">
        <v>15</v>
      </c>
      <c r="F25" s="84">
        <v>15</v>
      </c>
      <c r="G25" s="85">
        <v>15</v>
      </c>
      <c r="H25" s="84">
        <v>15</v>
      </c>
      <c r="I25" s="85">
        <v>15</v>
      </c>
      <c r="J25" s="84">
        <v>15</v>
      </c>
      <c r="K25" s="85">
        <v>15</v>
      </c>
      <c r="L25" s="71" t="s">
        <v>14</v>
      </c>
      <c r="M25" s="21" t="s">
        <v>40</v>
      </c>
      <c r="N25" s="71" t="s">
        <v>20</v>
      </c>
      <c r="O25" s="21" t="s">
        <v>577</v>
      </c>
    </row>
    <row r="26" spans="1:15" ht="15.75" thickBot="1">
      <c r="A26" s="17" t="s">
        <v>111</v>
      </c>
      <c r="B26" s="84">
        <v>2</v>
      </c>
      <c r="C26" s="85">
        <v>2</v>
      </c>
      <c r="D26" s="84">
        <v>2</v>
      </c>
      <c r="E26" s="85">
        <v>2</v>
      </c>
      <c r="F26" s="84">
        <v>2</v>
      </c>
      <c r="G26" s="85">
        <v>2</v>
      </c>
      <c r="H26" s="84">
        <v>2</v>
      </c>
      <c r="I26" s="85">
        <v>2</v>
      </c>
      <c r="J26" s="84">
        <v>2</v>
      </c>
      <c r="K26" s="85">
        <v>2</v>
      </c>
      <c r="L26" s="71" t="s">
        <v>14</v>
      </c>
      <c r="M26" s="21" t="s">
        <v>730</v>
      </c>
      <c r="N26" s="71" t="s">
        <v>20</v>
      </c>
      <c r="O26" s="21" t="s">
        <v>577</v>
      </c>
    </row>
    <row r="27" spans="1:15" ht="15.75" thickBot="1">
      <c r="A27" s="17" t="s">
        <v>112</v>
      </c>
      <c r="B27" s="84">
        <v>43.2</v>
      </c>
      <c r="C27" s="85">
        <v>43.2</v>
      </c>
      <c r="D27" s="84">
        <v>43.2</v>
      </c>
      <c r="E27" s="85">
        <v>43.2</v>
      </c>
      <c r="F27" s="84">
        <v>43.2</v>
      </c>
      <c r="G27" s="85">
        <v>43.2</v>
      </c>
      <c r="H27" s="84">
        <v>43.2</v>
      </c>
      <c r="I27" s="85">
        <v>43.2</v>
      </c>
      <c r="J27" s="84">
        <v>43.2</v>
      </c>
      <c r="K27" s="85">
        <v>43.2</v>
      </c>
      <c r="L27" s="71" t="s">
        <v>14</v>
      </c>
      <c r="M27" s="21" t="s">
        <v>13</v>
      </c>
      <c r="N27" s="71" t="s">
        <v>20</v>
      </c>
      <c r="O27" s="21" t="s">
        <v>577</v>
      </c>
    </row>
    <row r="28" spans="1:15" ht="15.75" thickBot="1">
      <c r="A28" s="17" t="s">
        <v>64</v>
      </c>
      <c r="B28" s="84">
        <v>48.5</v>
      </c>
      <c r="C28" s="85">
        <v>48.5</v>
      </c>
      <c r="D28" s="84">
        <v>48.5</v>
      </c>
      <c r="E28" s="85">
        <v>48.5</v>
      </c>
      <c r="F28" s="84">
        <v>48.5</v>
      </c>
      <c r="G28" s="85">
        <v>48.5</v>
      </c>
      <c r="H28" s="84">
        <v>48.5</v>
      </c>
      <c r="I28" s="85">
        <v>48.5</v>
      </c>
      <c r="J28" s="84">
        <v>48.5</v>
      </c>
      <c r="K28" s="85">
        <v>48.5</v>
      </c>
      <c r="L28" s="71" t="s">
        <v>14</v>
      </c>
      <c r="M28" s="21" t="s">
        <v>40</v>
      </c>
      <c r="N28" s="71" t="s">
        <v>20</v>
      </c>
      <c r="O28" s="21" t="s">
        <v>577</v>
      </c>
    </row>
    <row r="29" spans="1:15" ht="15.75" thickBot="1">
      <c r="A29" s="17" t="s">
        <v>67</v>
      </c>
      <c r="B29" s="84">
        <v>750</v>
      </c>
      <c r="C29" s="85">
        <v>750</v>
      </c>
      <c r="D29" s="84">
        <v>750</v>
      </c>
      <c r="E29" s="85">
        <v>750</v>
      </c>
      <c r="F29" s="84">
        <v>750</v>
      </c>
      <c r="G29" s="85">
        <v>750</v>
      </c>
      <c r="H29" s="84">
        <v>750</v>
      </c>
      <c r="I29" s="85">
        <v>750</v>
      </c>
      <c r="J29" s="84">
        <v>750</v>
      </c>
      <c r="K29" s="85">
        <v>750</v>
      </c>
      <c r="L29" s="71" t="s">
        <v>10</v>
      </c>
      <c r="M29" s="21" t="s">
        <v>561</v>
      </c>
      <c r="N29" s="71" t="s">
        <v>20</v>
      </c>
      <c r="O29" s="21" t="s">
        <v>577</v>
      </c>
    </row>
    <row r="30" spans="1:15" ht="15.75" thickBot="1">
      <c r="A30" s="17" t="s">
        <v>114</v>
      </c>
      <c r="B30" s="84">
        <v>80.400000000000006</v>
      </c>
      <c r="C30" s="85">
        <v>79.8</v>
      </c>
      <c r="D30" s="84">
        <v>79.2</v>
      </c>
      <c r="E30" s="85">
        <v>78.7</v>
      </c>
      <c r="F30" s="84">
        <v>78.099999999999994</v>
      </c>
      <c r="G30" s="85">
        <v>77.599999999999994</v>
      </c>
      <c r="H30" s="84">
        <v>77</v>
      </c>
      <c r="I30" s="85">
        <v>76.5</v>
      </c>
      <c r="J30" s="84">
        <v>76</v>
      </c>
      <c r="K30" s="85">
        <v>75.400000000000006</v>
      </c>
      <c r="L30" s="71" t="s">
        <v>14</v>
      </c>
      <c r="M30" s="21" t="s">
        <v>40</v>
      </c>
      <c r="N30" s="71" t="s">
        <v>20</v>
      </c>
      <c r="O30" s="21" t="s">
        <v>577</v>
      </c>
    </row>
    <row r="31" spans="1:15" ht="15.75" thickBot="1">
      <c r="A31" s="17" t="s">
        <v>71</v>
      </c>
      <c r="B31" s="84">
        <v>34</v>
      </c>
      <c r="C31" s="85">
        <v>34</v>
      </c>
      <c r="D31" s="84">
        <v>34</v>
      </c>
      <c r="E31" s="85">
        <v>0</v>
      </c>
      <c r="F31" s="84">
        <v>0</v>
      </c>
      <c r="G31" s="85">
        <v>0</v>
      </c>
      <c r="H31" s="84">
        <v>0</v>
      </c>
      <c r="I31" s="85">
        <v>0</v>
      </c>
      <c r="J31" s="84">
        <v>0</v>
      </c>
      <c r="K31" s="85">
        <v>0</v>
      </c>
      <c r="L31" s="71" t="s">
        <v>10</v>
      </c>
      <c r="M31" s="21" t="s">
        <v>561</v>
      </c>
      <c r="N31" s="71" t="s">
        <v>20</v>
      </c>
      <c r="O31" s="21" t="s">
        <v>577</v>
      </c>
    </row>
    <row r="32" spans="1:15" ht="15.75" thickBot="1">
      <c r="A32" s="17" t="s">
        <v>73</v>
      </c>
      <c r="B32" s="84">
        <v>852</v>
      </c>
      <c r="C32" s="85">
        <v>852</v>
      </c>
      <c r="D32" s="84">
        <v>852</v>
      </c>
      <c r="E32" s="85">
        <v>852</v>
      </c>
      <c r="F32" s="84">
        <v>852</v>
      </c>
      <c r="G32" s="85">
        <v>852</v>
      </c>
      <c r="H32" s="84">
        <v>852</v>
      </c>
      <c r="I32" s="85">
        <v>852</v>
      </c>
      <c r="J32" s="84">
        <v>852</v>
      </c>
      <c r="K32" s="85">
        <v>852</v>
      </c>
      <c r="L32" s="71" t="s">
        <v>10</v>
      </c>
      <c r="M32" s="21" t="s">
        <v>561</v>
      </c>
      <c r="N32" s="71" t="s">
        <v>20</v>
      </c>
      <c r="O32" s="21" t="s">
        <v>577</v>
      </c>
    </row>
    <row r="33" spans="1:15" ht="15.75" thickBot="1">
      <c r="A33" s="17" t="s">
        <v>116</v>
      </c>
      <c r="B33" s="84">
        <v>180.45</v>
      </c>
      <c r="C33" s="85">
        <v>180.45</v>
      </c>
      <c r="D33" s="84">
        <v>180.45</v>
      </c>
      <c r="E33" s="85">
        <v>180.45</v>
      </c>
      <c r="F33" s="84">
        <v>180.45</v>
      </c>
      <c r="G33" s="85">
        <v>180.45</v>
      </c>
      <c r="H33" s="84">
        <v>180.45</v>
      </c>
      <c r="I33" s="85">
        <v>180.45</v>
      </c>
      <c r="J33" s="84">
        <v>180.45</v>
      </c>
      <c r="K33" s="85">
        <v>180.45</v>
      </c>
      <c r="L33" s="71" t="s">
        <v>14</v>
      </c>
      <c r="M33" s="21" t="s">
        <v>13</v>
      </c>
      <c r="N33" s="71" t="s">
        <v>20</v>
      </c>
      <c r="O33" s="21" t="s">
        <v>577</v>
      </c>
    </row>
    <row r="34" spans="1:15" ht="15.75" thickBot="1">
      <c r="A34" s="17" t="s">
        <v>76</v>
      </c>
      <c r="B34" s="84">
        <v>428</v>
      </c>
      <c r="C34" s="85">
        <v>428</v>
      </c>
      <c r="D34" s="84">
        <v>428</v>
      </c>
      <c r="E34" s="85">
        <v>428</v>
      </c>
      <c r="F34" s="84">
        <v>428</v>
      </c>
      <c r="G34" s="85">
        <v>428</v>
      </c>
      <c r="H34" s="84">
        <v>428</v>
      </c>
      <c r="I34" s="85">
        <v>428</v>
      </c>
      <c r="J34" s="84">
        <v>428</v>
      </c>
      <c r="K34" s="85">
        <v>428</v>
      </c>
      <c r="L34" s="71" t="s">
        <v>10</v>
      </c>
      <c r="M34" s="21" t="s">
        <v>561</v>
      </c>
      <c r="N34" s="71" t="s">
        <v>20</v>
      </c>
      <c r="O34" s="21" t="s">
        <v>577</v>
      </c>
    </row>
    <row r="35" spans="1:15" ht="15.75" thickBot="1">
      <c r="A35" s="17" t="s">
        <v>118</v>
      </c>
      <c r="B35" s="84">
        <v>55</v>
      </c>
      <c r="C35" s="85">
        <v>55</v>
      </c>
      <c r="D35" s="84">
        <v>55</v>
      </c>
      <c r="E35" s="85">
        <v>55</v>
      </c>
      <c r="F35" s="84">
        <v>55</v>
      </c>
      <c r="G35" s="85">
        <v>55</v>
      </c>
      <c r="H35" s="84">
        <v>55</v>
      </c>
      <c r="I35" s="85">
        <v>55</v>
      </c>
      <c r="J35" s="84">
        <v>55</v>
      </c>
      <c r="K35" s="85">
        <v>55</v>
      </c>
      <c r="L35" s="71" t="s">
        <v>14</v>
      </c>
      <c r="M35" s="21" t="s">
        <v>40</v>
      </c>
      <c r="N35" s="71" t="s">
        <v>20</v>
      </c>
      <c r="O35" s="21" t="s">
        <v>577</v>
      </c>
    </row>
    <row r="36" spans="1:15" ht="15.75" thickBot="1">
      <c r="A36" s="17" t="s">
        <v>78</v>
      </c>
      <c r="B36" s="84">
        <v>346</v>
      </c>
      <c r="C36" s="85">
        <v>346</v>
      </c>
      <c r="D36" s="84">
        <v>346</v>
      </c>
      <c r="E36" s="85">
        <v>346</v>
      </c>
      <c r="F36" s="84">
        <v>346</v>
      </c>
      <c r="G36" s="85">
        <v>346</v>
      </c>
      <c r="H36" s="84">
        <v>346</v>
      </c>
      <c r="I36" s="85">
        <v>346</v>
      </c>
      <c r="J36" s="84">
        <v>346</v>
      </c>
      <c r="K36" s="85">
        <v>346</v>
      </c>
      <c r="L36" s="71" t="s">
        <v>10</v>
      </c>
      <c r="M36" s="21" t="s">
        <v>561</v>
      </c>
      <c r="N36" s="71" t="s">
        <v>20</v>
      </c>
      <c r="O36" s="21" t="s">
        <v>577</v>
      </c>
    </row>
    <row r="37" spans="1:15" ht="15.75" thickBot="1">
      <c r="A37" s="17" t="s">
        <v>120</v>
      </c>
      <c r="B37" s="84">
        <v>25</v>
      </c>
      <c r="C37" s="85">
        <v>25</v>
      </c>
      <c r="D37" s="84">
        <v>25</v>
      </c>
      <c r="E37" s="85">
        <v>25</v>
      </c>
      <c r="F37" s="84">
        <v>25</v>
      </c>
      <c r="G37" s="85">
        <v>25</v>
      </c>
      <c r="H37" s="84">
        <v>25</v>
      </c>
      <c r="I37" s="85">
        <v>25</v>
      </c>
      <c r="J37" s="84">
        <v>25</v>
      </c>
      <c r="K37" s="85">
        <v>25</v>
      </c>
      <c r="L37" s="71" t="s">
        <v>14</v>
      </c>
      <c r="M37" s="21" t="s">
        <v>40</v>
      </c>
      <c r="N37" s="71" t="s">
        <v>20</v>
      </c>
      <c r="O37" s="21" t="s">
        <v>577</v>
      </c>
    </row>
    <row r="38" spans="1:15" ht="15.75" thickBot="1">
      <c r="A38" s="17" t="s">
        <v>81</v>
      </c>
      <c r="B38" s="84">
        <v>68</v>
      </c>
      <c r="C38" s="85">
        <v>68</v>
      </c>
      <c r="D38" s="84">
        <v>68</v>
      </c>
      <c r="E38" s="85">
        <v>68</v>
      </c>
      <c r="F38" s="84">
        <v>68</v>
      </c>
      <c r="G38" s="85">
        <v>68</v>
      </c>
      <c r="H38" s="84">
        <v>68</v>
      </c>
      <c r="I38" s="85">
        <v>68</v>
      </c>
      <c r="J38" s="84">
        <v>68</v>
      </c>
      <c r="K38" s="85">
        <v>68</v>
      </c>
      <c r="L38" s="71" t="s">
        <v>10</v>
      </c>
      <c r="M38" s="21" t="s">
        <v>561</v>
      </c>
      <c r="N38" s="71" t="s">
        <v>20</v>
      </c>
      <c r="O38" s="21" t="s">
        <v>577</v>
      </c>
    </row>
    <row r="39" spans="1:15" ht="15.75" thickBot="1">
      <c r="A39" s="17" t="s">
        <v>122</v>
      </c>
      <c r="B39" s="84">
        <v>116</v>
      </c>
      <c r="C39" s="85">
        <v>116</v>
      </c>
      <c r="D39" s="84">
        <v>116</v>
      </c>
      <c r="E39" s="85">
        <v>116</v>
      </c>
      <c r="F39" s="84">
        <v>116</v>
      </c>
      <c r="G39" s="85">
        <v>116</v>
      </c>
      <c r="H39" s="84">
        <v>116</v>
      </c>
      <c r="I39" s="85">
        <v>116</v>
      </c>
      <c r="J39" s="84">
        <v>116</v>
      </c>
      <c r="K39" s="85">
        <v>116</v>
      </c>
      <c r="L39" s="71" t="s">
        <v>14</v>
      </c>
      <c r="M39" s="21" t="s">
        <v>40</v>
      </c>
      <c r="N39" s="71" t="s">
        <v>20</v>
      </c>
      <c r="O39" s="21" t="s">
        <v>577</v>
      </c>
    </row>
    <row r="40" spans="1:15" ht="23.25" thickBot="1">
      <c r="A40" s="17" t="s">
        <v>738</v>
      </c>
      <c r="B40" s="84">
        <v>65</v>
      </c>
      <c r="C40" s="85">
        <v>65</v>
      </c>
      <c r="D40" s="84">
        <v>65</v>
      </c>
      <c r="E40" s="85">
        <v>65</v>
      </c>
      <c r="F40" s="84">
        <v>65</v>
      </c>
      <c r="G40" s="85">
        <v>65</v>
      </c>
      <c r="H40" s="84">
        <v>65</v>
      </c>
      <c r="I40" s="85">
        <v>65</v>
      </c>
      <c r="J40" s="84">
        <v>65</v>
      </c>
      <c r="K40" s="85">
        <v>65</v>
      </c>
      <c r="L40" s="71" t="s">
        <v>14</v>
      </c>
      <c r="M40" s="21" t="s">
        <v>40</v>
      </c>
      <c r="N40" s="71" t="s">
        <v>20</v>
      </c>
      <c r="O40" s="21" t="s">
        <v>577</v>
      </c>
    </row>
    <row r="41" spans="1:15" ht="15.75" thickBot="1">
      <c r="A41" s="17" t="s">
        <v>82</v>
      </c>
      <c r="B41" s="84">
        <v>1460</v>
      </c>
      <c r="C41" s="85">
        <v>1460</v>
      </c>
      <c r="D41" s="84">
        <v>1460</v>
      </c>
      <c r="E41" s="85">
        <v>1460</v>
      </c>
      <c r="F41" s="84">
        <v>1460</v>
      </c>
      <c r="G41" s="85">
        <v>1460</v>
      </c>
      <c r="H41" s="84">
        <v>1460</v>
      </c>
      <c r="I41" s="85">
        <v>1460</v>
      </c>
      <c r="J41" s="84">
        <v>1460</v>
      </c>
      <c r="K41" s="85">
        <v>1460</v>
      </c>
      <c r="L41" s="71" t="s">
        <v>10</v>
      </c>
      <c r="M41" s="21" t="s">
        <v>561</v>
      </c>
      <c r="N41" s="71" t="s">
        <v>20</v>
      </c>
      <c r="O41" s="21" t="s">
        <v>577</v>
      </c>
    </row>
    <row r="42" spans="1:15" ht="15.75" thickBot="1">
      <c r="A42" s="17" t="s">
        <v>193</v>
      </c>
      <c r="B42" s="84">
        <v>124</v>
      </c>
      <c r="C42" s="85">
        <v>124</v>
      </c>
      <c r="D42" s="84">
        <v>124</v>
      </c>
      <c r="E42" s="85">
        <v>124</v>
      </c>
      <c r="F42" s="84">
        <v>124</v>
      </c>
      <c r="G42" s="85">
        <v>124</v>
      </c>
      <c r="H42" s="84">
        <v>124</v>
      </c>
      <c r="I42" s="85">
        <v>124</v>
      </c>
      <c r="J42" s="84">
        <v>124</v>
      </c>
      <c r="K42" s="85">
        <v>124</v>
      </c>
      <c r="L42" s="71" t="s">
        <v>14</v>
      </c>
      <c r="M42" s="21" t="s">
        <v>40</v>
      </c>
      <c r="N42" s="71" t="s">
        <v>20</v>
      </c>
      <c r="O42" s="21" t="s">
        <v>577</v>
      </c>
    </row>
    <row r="43" spans="1:15" ht="15.75" thickBot="1">
      <c r="A43" s="17" t="s">
        <v>402</v>
      </c>
      <c r="B43" s="84">
        <v>75</v>
      </c>
      <c r="C43" s="85">
        <v>75</v>
      </c>
      <c r="D43" s="84">
        <v>75</v>
      </c>
      <c r="E43" s="85">
        <v>75</v>
      </c>
      <c r="F43" s="84">
        <v>75</v>
      </c>
      <c r="G43" s="85">
        <v>75</v>
      </c>
      <c r="H43" s="84">
        <v>75</v>
      </c>
      <c r="I43" s="85">
        <v>75</v>
      </c>
      <c r="J43" s="84">
        <v>75</v>
      </c>
      <c r="K43" s="85">
        <v>75</v>
      </c>
      <c r="L43" s="71" t="s">
        <v>14</v>
      </c>
      <c r="M43" s="21" t="s">
        <v>40</v>
      </c>
      <c r="N43" s="71" t="s">
        <v>20</v>
      </c>
      <c r="O43" s="21" t="s">
        <v>577</v>
      </c>
    </row>
    <row r="44" spans="1:15" ht="15.75" thickBot="1">
      <c r="A44" s="17" t="s">
        <v>84</v>
      </c>
      <c r="B44" s="84">
        <v>365</v>
      </c>
      <c r="C44" s="85">
        <v>365</v>
      </c>
      <c r="D44" s="84">
        <v>365</v>
      </c>
      <c r="E44" s="85">
        <v>365</v>
      </c>
      <c r="F44" s="84">
        <v>365</v>
      </c>
      <c r="G44" s="85">
        <v>365</v>
      </c>
      <c r="H44" s="84">
        <v>365</v>
      </c>
      <c r="I44" s="85">
        <v>365</v>
      </c>
      <c r="J44" s="84">
        <v>365</v>
      </c>
      <c r="K44" s="85">
        <v>365</v>
      </c>
      <c r="L44" s="71" t="s">
        <v>10</v>
      </c>
      <c r="M44" s="21" t="s">
        <v>561</v>
      </c>
      <c r="N44" s="71" t="s">
        <v>20</v>
      </c>
      <c r="O44" s="21" t="s">
        <v>577</v>
      </c>
    </row>
    <row r="45" spans="1:15" ht="15.75" thickBot="1">
      <c r="A45" s="17" t="s">
        <v>87</v>
      </c>
      <c r="B45" s="84">
        <v>1400</v>
      </c>
      <c r="C45" s="85">
        <v>1400</v>
      </c>
      <c r="D45" s="84">
        <v>1400</v>
      </c>
      <c r="E45" s="85">
        <v>1400</v>
      </c>
      <c r="F45" s="84">
        <v>1400</v>
      </c>
      <c r="G45" s="85">
        <v>1400</v>
      </c>
      <c r="H45" s="84">
        <v>1400</v>
      </c>
      <c r="I45" s="85">
        <v>1400</v>
      </c>
      <c r="J45" s="84">
        <v>1400</v>
      </c>
      <c r="K45" s="85">
        <v>1400</v>
      </c>
      <c r="L45" s="71" t="s">
        <v>10</v>
      </c>
      <c r="M45" s="21" t="s">
        <v>561</v>
      </c>
      <c r="N45" s="71" t="s">
        <v>20</v>
      </c>
      <c r="O45" s="21" t="s">
        <v>577</v>
      </c>
    </row>
    <row r="46" spans="1:15" ht="15.75" thickBot="1">
      <c r="A46" s="17" t="s">
        <v>89</v>
      </c>
      <c r="B46" s="84">
        <v>443</v>
      </c>
      <c r="C46" s="85">
        <v>443</v>
      </c>
      <c r="D46" s="84">
        <v>443</v>
      </c>
      <c r="E46" s="85">
        <v>443</v>
      </c>
      <c r="F46" s="84">
        <v>443</v>
      </c>
      <c r="G46" s="85">
        <v>443</v>
      </c>
      <c r="H46" s="84">
        <v>443</v>
      </c>
      <c r="I46" s="85">
        <v>443</v>
      </c>
      <c r="J46" s="84">
        <v>443</v>
      </c>
      <c r="K46" s="85">
        <v>443</v>
      </c>
      <c r="L46" s="71" t="s">
        <v>10</v>
      </c>
      <c r="M46" s="21" t="s">
        <v>561</v>
      </c>
      <c r="N46" s="71" t="s">
        <v>20</v>
      </c>
      <c r="O46" s="21" t="s">
        <v>577</v>
      </c>
    </row>
    <row r="47" spans="1:15" ht="15.75" thickBot="1">
      <c r="A47" s="17" t="s">
        <v>406</v>
      </c>
      <c r="B47" s="84">
        <v>52.5</v>
      </c>
      <c r="C47" s="85">
        <v>52.5</v>
      </c>
      <c r="D47" s="84">
        <v>52.5</v>
      </c>
      <c r="E47" s="85">
        <v>52.5</v>
      </c>
      <c r="F47" s="84">
        <v>52.5</v>
      </c>
      <c r="G47" s="85">
        <v>52.5</v>
      </c>
      <c r="H47" s="84">
        <v>52.5</v>
      </c>
      <c r="I47" s="85">
        <v>52.5</v>
      </c>
      <c r="J47" s="84">
        <v>52.5</v>
      </c>
      <c r="K47" s="85">
        <v>52.5</v>
      </c>
      <c r="L47" s="71" t="s">
        <v>14</v>
      </c>
      <c r="M47" s="21" t="s">
        <v>40</v>
      </c>
      <c r="N47" s="71" t="s">
        <v>20</v>
      </c>
      <c r="O47" s="21" t="s">
        <v>577</v>
      </c>
    </row>
    <row r="48" spans="1:15" ht="15.75" thickBot="1">
      <c r="A48" s="17" t="s">
        <v>91</v>
      </c>
      <c r="B48" s="84">
        <v>245</v>
      </c>
      <c r="C48" s="85">
        <v>243</v>
      </c>
      <c r="D48" s="84">
        <v>243</v>
      </c>
      <c r="E48" s="85">
        <v>243</v>
      </c>
      <c r="F48" s="84">
        <v>242</v>
      </c>
      <c r="G48" s="85">
        <v>242</v>
      </c>
      <c r="H48" s="84">
        <v>241</v>
      </c>
      <c r="I48" s="85">
        <v>241</v>
      </c>
      <c r="J48" s="84">
        <v>241</v>
      </c>
      <c r="K48" s="85">
        <v>240</v>
      </c>
      <c r="L48" s="71" t="s">
        <v>10</v>
      </c>
      <c r="M48" s="21" t="s">
        <v>561</v>
      </c>
      <c r="N48" s="71" t="s">
        <v>20</v>
      </c>
      <c r="O48" s="21" t="s">
        <v>577</v>
      </c>
    </row>
    <row r="49" spans="1:15" ht="15.75" thickBot="1">
      <c r="A49" s="17" t="s">
        <v>748</v>
      </c>
      <c r="B49" s="84">
        <v>0</v>
      </c>
      <c r="C49" s="85">
        <v>64.2</v>
      </c>
      <c r="D49" s="84">
        <v>64.2</v>
      </c>
      <c r="E49" s="85">
        <v>64.2</v>
      </c>
      <c r="F49" s="84">
        <v>64.2</v>
      </c>
      <c r="G49" s="85">
        <v>64.2</v>
      </c>
      <c r="H49" s="84">
        <v>64.2</v>
      </c>
      <c r="I49" s="85">
        <v>64.2</v>
      </c>
      <c r="J49" s="84">
        <v>64.2</v>
      </c>
      <c r="K49" s="85">
        <v>64.2</v>
      </c>
      <c r="L49" s="71" t="s">
        <v>14</v>
      </c>
      <c r="M49" s="21" t="s">
        <v>40</v>
      </c>
      <c r="N49" s="71" t="s">
        <v>20</v>
      </c>
      <c r="O49" s="21" t="s">
        <v>577</v>
      </c>
    </row>
    <row r="50" spans="1:15" ht="15.75" thickBot="1">
      <c r="A50" s="17" t="s">
        <v>125</v>
      </c>
      <c r="B50" s="84">
        <v>57.5</v>
      </c>
      <c r="C50" s="85">
        <v>57.5</v>
      </c>
      <c r="D50" s="84">
        <v>57.5</v>
      </c>
      <c r="E50" s="85">
        <v>57.5</v>
      </c>
      <c r="F50" s="84">
        <v>57.5</v>
      </c>
      <c r="G50" s="85">
        <v>57.5</v>
      </c>
      <c r="H50" s="84">
        <v>57.5</v>
      </c>
      <c r="I50" s="85">
        <v>57.5</v>
      </c>
      <c r="J50" s="84">
        <v>57.5</v>
      </c>
      <c r="K50" s="85">
        <v>57.5</v>
      </c>
      <c r="L50" s="71" t="s">
        <v>14</v>
      </c>
      <c r="M50" s="21" t="s">
        <v>40</v>
      </c>
      <c r="N50" s="71" t="s">
        <v>20</v>
      </c>
      <c r="O50" s="21" t="s">
        <v>577</v>
      </c>
    </row>
    <row r="51" spans="1:15" ht="15.75" thickBot="1">
      <c r="A51" s="17" t="s">
        <v>93</v>
      </c>
      <c r="B51" s="84">
        <v>570</v>
      </c>
      <c r="C51" s="85">
        <v>570</v>
      </c>
      <c r="D51" s="84">
        <v>570</v>
      </c>
      <c r="E51" s="85">
        <v>570</v>
      </c>
      <c r="F51" s="84">
        <v>570</v>
      </c>
      <c r="G51" s="85">
        <v>570</v>
      </c>
      <c r="H51" s="84">
        <v>570</v>
      </c>
      <c r="I51" s="85">
        <v>570</v>
      </c>
      <c r="J51" s="84">
        <v>570</v>
      </c>
      <c r="K51" s="85">
        <v>570</v>
      </c>
      <c r="L51" s="71" t="s">
        <v>10</v>
      </c>
      <c r="M51" s="21" t="s">
        <v>25</v>
      </c>
      <c r="N51" s="71" t="s">
        <v>20</v>
      </c>
      <c r="O51" s="21" t="s">
        <v>577</v>
      </c>
    </row>
    <row r="52" spans="1:15" s="90" customFormat="1" ht="15.75" thickBot="1">
      <c r="A52" s="17" t="s">
        <v>423</v>
      </c>
      <c r="B52" s="84">
        <v>0</v>
      </c>
      <c r="C52" s="85">
        <v>102.5</v>
      </c>
      <c r="D52" s="84">
        <v>102.5</v>
      </c>
      <c r="E52" s="85">
        <v>102.5</v>
      </c>
      <c r="F52" s="84">
        <v>102.5</v>
      </c>
      <c r="G52" s="85">
        <v>102.5</v>
      </c>
      <c r="H52" s="84">
        <v>102.5</v>
      </c>
      <c r="I52" s="85">
        <v>102.5</v>
      </c>
      <c r="J52" s="84">
        <v>102.5</v>
      </c>
      <c r="K52" s="85">
        <v>102.5</v>
      </c>
      <c r="L52" s="71" t="s">
        <v>14</v>
      </c>
      <c r="M52" s="21" t="s">
        <v>40</v>
      </c>
      <c r="N52" s="71" t="s">
        <v>20</v>
      </c>
      <c r="O52" s="21" t="s">
        <v>577</v>
      </c>
    </row>
    <row r="53" spans="1:15" s="90" customFormat="1" ht="15.75" thickBot="1">
      <c r="A53" s="78"/>
      <c r="B53" s="78"/>
      <c r="C53" s="78"/>
      <c r="D53" s="78"/>
      <c r="E53" s="78"/>
      <c r="F53" s="78"/>
      <c r="G53" s="78"/>
      <c r="H53" s="78"/>
      <c r="I53" s="78"/>
      <c r="J53" s="78"/>
      <c r="K53" s="78"/>
      <c r="L53" s="78"/>
      <c r="M53" s="78"/>
      <c r="N53" s="78"/>
      <c r="O53" s="78"/>
    </row>
    <row r="54" spans="1:15" s="90" customFormat="1" ht="44.25" customHeight="1" thickBot="1">
      <c r="A54" s="51" t="s">
        <v>95</v>
      </c>
      <c r="B54" s="87">
        <f>SUM(wiincapsalltable[2019])</f>
        <v>14007.749999999998</v>
      </c>
      <c r="C54" s="87">
        <f>SUM(wiincapsalltable[2020])</f>
        <v>14532.150000000001</v>
      </c>
      <c r="D54" s="87">
        <f>SUM(wiincapsalltable[2021])</f>
        <v>14530.35</v>
      </c>
      <c r="E54" s="87">
        <f>SUM(wiincapsalltable[2022])</f>
        <v>14494.75</v>
      </c>
      <c r="F54" s="87">
        <f>SUM(wiincapsalltable[2023])</f>
        <v>14504.95</v>
      </c>
      <c r="G54" s="87">
        <f>SUM(wiincapsalltable[2024])</f>
        <v>14503.45</v>
      </c>
      <c r="H54" s="87">
        <f>SUM(wiincapsalltable[2025])</f>
        <v>14500.650000000001</v>
      </c>
      <c r="I54" s="87">
        <f>SUM(wiincapsalltable[2026])</f>
        <v>14499.050000000001</v>
      </c>
      <c r="J54" s="87">
        <f>SUM(wiincapsalltable[2027])</f>
        <v>14497.45</v>
      </c>
      <c r="K54" s="87">
        <f>SUM(wiincapsalltable[2028])</f>
        <v>14494.650000000001</v>
      </c>
      <c r="L54" s="25"/>
      <c r="M54" s="25"/>
      <c r="N54" s="25"/>
      <c r="O54" s="25"/>
    </row>
    <row r="55" spans="1:15" s="90" customFormat="1" ht="52.5" customHeight="1">
      <c r="A55" s="25"/>
      <c r="B55" s="25"/>
      <c r="C55" s="25"/>
      <c r="D55" s="25"/>
      <c r="E55" s="25"/>
      <c r="F55" s="25"/>
      <c r="G55" s="25"/>
      <c r="H55" s="25"/>
      <c r="I55" s="25"/>
      <c r="J55" s="25"/>
      <c r="K55" s="25"/>
      <c r="L55" s="25"/>
      <c r="M55" s="25"/>
      <c r="N55" s="25"/>
      <c r="O55" s="25"/>
    </row>
    <row r="56" spans="1:15">
      <c r="A56" s="160" t="s">
        <v>578</v>
      </c>
      <c r="B56" s="161"/>
      <c r="C56" s="161"/>
      <c r="D56" s="161"/>
      <c r="E56" s="161"/>
      <c r="F56" s="161"/>
      <c r="G56" s="161"/>
      <c r="H56" s="161"/>
      <c r="I56" s="161"/>
      <c r="J56" s="161"/>
      <c r="K56" s="161"/>
      <c r="L56" s="161"/>
      <c r="M56" s="90"/>
      <c r="N56" s="90"/>
      <c r="O56" s="90"/>
    </row>
    <row r="57" spans="1:15">
      <c r="A57" s="160" t="s">
        <v>565</v>
      </c>
      <c r="B57" s="161"/>
      <c r="C57" s="161"/>
      <c r="D57" s="161"/>
      <c r="E57" s="161"/>
      <c r="F57" s="161"/>
      <c r="G57" s="161"/>
      <c r="H57" s="161"/>
      <c r="I57" s="161"/>
      <c r="J57" s="161"/>
      <c r="K57" s="161"/>
      <c r="L57" s="161"/>
      <c r="M57" s="90"/>
      <c r="N57" s="90"/>
      <c r="O57" s="90"/>
    </row>
    <row r="58" spans="1:15">
      <c r="A58" s="160" t="s">
        <v>566</v>
      </c>
      <c r="B58" s="161"/>
      <c r="C58" s="161"/>
      <c r="D58" s="161"/>
      <c r="E58" s="161"/>
      <c r="F58" s="161"/>
      <c r="G58" s="161"/>
      <c r="H58" s="161"/>
      <c r="I58" s="161"/>
      <c r="J58" s="161"/>
      <c r="K58" s="161"/>
      <c r="L58" s="161"/>
      <c r="M58" s="90"/>
      <c r="N58" s="90"/>
      <c r="O58" s="90"/>
    </row>
    <row r="59" spans="1:15">
      <c r="A59" s="160" t="s">
        <v>579</v>
      </c>
      <c r="B59" s="161"/>
      <c r="C59" s="161"/>
      <c r="D59" s="161"/>
      <c r="E59" s="161"/>
      <c r="F59" s="161"/>
      <c r="G59" s="161"/>
      <c r="H59" s="161"/>
      <c r="I59" s="161"/>
      <c r="J59" s="161"/>
      <c r="K59" s="161"/>
      <c r="L59" s="161"/>
      <c r="M59" s="90"/>
      <c r="N59" s="90"/>
      <c r="O59" s="90"/>
    </row>
    <row r="60" spans="1:15" ht="15.75" thickBot="1"/>
    <row r="61" spans="1:15" ht="20.25" thickBot="1">
      <c r="A61" s="29" t="s">
        <v>580</v>
      </c>
    </row>
    <row r="62" spans="1:15" ht="15.75" thickBot="1">
      <c r="A62" s="81" t="s">
        <v>558</v>
      </c>
      <c r="B62" s="81" t="s">
        <v>643</v>
      </c>
      <c r="C62" s="81" t="s">
        <v>644</v>
      </c>
      <c r="D62" s="81" t="s">
        <v>645</v>
      </c>
      <c r="E62" s="81" t="s">
        <v>646</v>
      </c>
      <c r="F62" s="81" t="s">
        <v>647</v>
      </c>
      <c r="G62" s="81" t="s">
        <v>648</v>
      </c>
      <c r="H62" s="81" t="s">
        <v>649</v>
      </c>
      <c r="I62" s="81" t="s">
        <v>650</v>
      </c>
      <c r="J62" s="81" t="s">
        <v>651</v>
      </c>
      <c r="K62" s="81" t="s">
        <v>652</v>
      </c>
      <c r="L62" s="81" t="s">
        <v>653</v>
      </c>
      <c r="M62" s="53" t="s">
        <v>559</v>
      </c>
      <c r="N62" s="53" t="s">
        <v>7</v>
      </c>
      <c r="O62" s="53" t="s">
        <v>560</v>
      </c>
    </row>
    <row r="63" spans="1:15" ht="15.75" thickBot="1">
      <c r="A63" s="2" t="s">
        <v>17</v>
      </c>
      <c r="B63" s="88">
        <v>37</v>
      </c>
      <c r="C63" s="89">
        <v>37</v>
      </c>
      <c r="D63" s="88">
        <v>37</v>
      </c>
      <c r="E63" s="89">
        <v>37</v>
      </c>
      <c r="F63" s="88">
        <v>37</v>
      </c>
      <c r="G63" s="89">
        <v>37</v>
      </c>
      <c r="H63" s="88">
        <v>37</v>
      </c>
      <c r="I63" s="89">
        <v>37</v>
      </c>
      <c r="J63" s="88">
        <v>37</v>
      </c>
      <c r="K63" s="89">
        <v>37</v>
      </c>
      <c r="L63" s="6" t="s">
        <v>10</v>
      </c>
      <c r="M63" s="7" t="s">
        <v>561</v>
      </c>
      <c r="N63" s="6" t="s">
        <v>20</v>
      </c>
      <c r="O63" s="7" t="s">
        <v>577</v>
      </c>
    </row>
    <row r="64" spans="1:15" ht="15.75" thickBot="1">
      <c r="A64" s="2" t="s">
        <v>21</v>
      </c>
      <c r="B64" s="88">
        <v>66</v>
      </c>
      <c r="C64" s="89">
        <v>66</v>
      </c>
      <c r="D64" s="88">
        <v>66</v>
      </c>
      <c r="E64" s="89">
        <v>66</v>
      </c>
      <c r="F64" s="88">
        <v>66</v>
      </c>
      <c r="G64" s="89">
        <v>66</v>
      </c>
      <c r="H64" s="88">
        <v>66</v>
      </c>
      <c r="I64" s="89">
        <v>66</v>
      </c>
      <c r="J64" s="88">
        <v>66</v>
      </c>
      <c r="K64" s="89">
        <v>66</v>
      </c>
      <c r="L64" s="6" t="s">
        <v>10</v>
      </c>
      <c r="M64" s="7" t="s">
        <v>563</v>
      </c>
      <c r="N64" s="6" t="s">
        <v>20</v>
      </c>
      <c r="O64" s="7" t="s">
        <v>577</v>
      </c>
    </row>
    <row r="65" spans="1:15" ht="15.75" thickBot="1">
      <c r="A65" s="2" t="s">
        <v>31</v>
      </c>
      <c r="B65" s="88">
        <v>530</v>
      </c>
      <c r="C65" s="89">
        <v>530</v>
      </c>
      <c r="D65" s="88">
        <v>530</v>
      </c>
      <c r="E65" s="89">
        <v>530</v>
      </c>
      <c r="F65" s="88">
        <v>543</v>
      </c>
      <c r="G65" s="89">
        <v>543</v>
      </c>
      <c r="H65" s="88">
        <v>543</v>
      </c>
      <c r="I65" s="89">
        <v>543</v>
      </c>
      <c r="J65" s="88">
        <v>543</v>
      </c>
      <c r="K65" s="89">
        <v>543</v>
      </c>
      <c r="L65" s="6" t="s">
        <v>10</v>
      </c>
      <c r="M65" s="7" t="s">
        <v>561</v>
      </c>
      <c r="N65" s="6" t="s">
        <v>20</v>
      </c>
      <c r="O65" s="7" t="s">
        <v>577</v>
      </c>
    </row>
    <row r="66" spans="1:15" ht="15.75" thickBot="1">
      <c r="A66" s="2" t="s">
        <v>35</v>
      </c>
      <c r="B66" s="88">
        <v>519</v>
      </c>
      <c r="C66" s="89">
        <v>519</v>
      </c>
      <c r="D66" s="88">
        <v>519</v>
      </c>
      <c r="E66" s="89">
        <v>519</v>
      </c>
      <c r="F66" s="88">
        <v>519</v>
      </c>
      <c r="G66" s="89">
        <v>519</v>
      </c>
      <c r="H66" s="88">
        <v>519</v>
      </c>
      <c r="I66" s="89">
        <v>519</v>
      </c>
      <c r="J66" s="88">
        <v>519</v>
      </c>
      <c r="K66" s="89">
        <v>519</v>
      </c>
      <c r="L66" s="6" t="s">
        <v>10</v>
      </c>
      <c r="M66" s="7" t="s">
        <v>561</v>
      </c>
      <c r="N66" s="6" t="s">
        <v>20</v>
      </c>
      <c r="O66" s="7" t="s">
        <v>577</v>
      </c>
    </row>
    <row r="67" spans="1:15" ht="15.75" thickBot="1">
      <c r="A67" s="2" t="s">
        <v>41</v>
      </c>
      <c r="B67" s="88">
        <v>700</v>
      </c>
      <c r="C67" s="89">
        <v>700</v>
      </c>
      <c r="D67" s="88">
        <v>700</v>
      </c>
      <c r="E67" s="89">
        <v>700</v>
      </c>
      <c r="F67" s="88">
        <v>700</v>
      </c>
      <c r="G67" s="89">
        <v>700</v>
      </c>
      <c r="H67" s="88">
        <v>700</v>
      </c>
      <c r="I67" s="89">
        <v>700</v>
      </c>
      <c r="J67" s="88">
        <v>700</v>
      </c>
      <c r="K67" s="89">
        <v>700</v>
      </c>
      <c r="L67" s="6" t="s">
        <v>10</v>
      </c>
      <c r="M67" s="7" t="s">
        <v>561</v>
      </c>
      <c r="N67" s="6" t="s">
        <v>20</v>
      </c>
      <c r="O67" s="7" t="s">
        <v>577</v>
      </c>
    </row>
    <row r="68" spans="1:15" ht="15.75" thickBot="1">
      <c r="A68" s="2" t="s">
        <v>44</v>
      </c>
      <c r="B68" s="88">
        <v>840</v>
      </c>
      <c r="C68" s="89">
        <v>840</v>
      </c>
      <c r="D68" s="88">
        <v>840</v>
      </c>
      <c r="E68" s="89">
        <v>840</v>
      </c>
      <c r="F68" s="88">
        <v>840</v>
      </c>
      <c r="G68" s="89">
        <v>840</v>
      </c>
      <c r="H68" s="88">
        <v>840</v>
      </c>
      <c r="I68" s="89">
        <v>840</v>
      </c>
      <c r="J68" s="88">
        <v>840</v>
      </c>
      <c r="K68" s="89">
        <v>840</v>
      </c>
      <c r="L68" s="6" t="s">
        <v>10</v>
      </c>
      <c r="M68" s="7" t="s">
        <v>561</v>
      </c>
      <c r="N68" s="6" t="s">
        <v>20</v>
      </c>
      <c r="O68" s="7" t="s">
        <v>577</v>
      </c>
    </row>
    <row r="69" spans="1:15" ht="15.75" thickBot="1">
      <c r="A69" s="2" t="s">
        <v>52</v>
      </c>
      <c r="B69" s="88">
        <v>100</v>
      </c>
      <c r="C69" s="89">
        <v>100</v>
      </c>
      <c r="D69" s="88">
        <v>100</v>
      </c>
      <c r="E69" s="89">
        <v>100</v>
      </c>
      <c r="F69" s="88">
        <v>100</v>
      </c>
      <c r="G69" s="89">
        <v>100</v>
      </c>
      <c r="H69" s="88">
        <v>100</v>
      </c>
      <c r="I69" s="89">
        <v>100</v>
      </c>
      <c r="J69" s="88">
        <v>100</v>
      </c>
      <c r="K69" s="89">
        <v>100</v>
      </c>
      <c r="L69" s="6" t="s">
        <v>10</v>
      </c>
      <c r="M69" s="7" t="s">
        <v>561</v>
      </c>
      <c r="N69" s="6" t="s">
        <v>20</v>
      </c>
      <c r="O69" s="7" t="s">
        <v>577</v>
      </c>
    </row>
    <row r="70" spans="1:15" ht="15.75" thickBot="1">
      <c r="A70" s="2" t="s">
        <v>56</v>
      </c>
      <c r="B70" s="88">
        <v>633</v>
      </c>
      <c r="C70" s="89">
        <v>633</v>
      </c>
      <c r="D70" s="88">
        <v>633</v>
      </c>
      <c r="E70" s="89">
        <v>633</v>
      </c>
      <c r="F70" s="88">
        <v>633</v>
      </c>
      <c r="G70" s="89">
        <v>633</v>
      </c>
      <c r="H70" s="88">
        <v>633</v>
      </c>
      <c r="I70" s="89">
        <v>633</v>
      </c>
      <c r="J70" s="88">
        <v>633</v>
      </c>
      <c r="K70" s="89">
        <v>633</v>
      </c>
      <c r="L70" s="6" t="s">
        <v>10</v>
      </c>
      <c r="M70" s="7" t="s">
        <v>561</v>
      </c>
      <c r="N70" s="6" t="s">
        <v>20</v>
      </c>
      <c r="O70" s="7" t="s">
        <v>577</v>
      </c>
    </row>
    <row r="71" spans="1:15" ht="15.75" thickBot="1">
      <c r="A71" s="2" t="s">
        <v>59</v>
      </c>
      <c r="B71" s="88">
        <v>1680</v>
      </c>
      <c r="C71" s="89">
        <v>1680</v>
      </c>
      <c r="D71" s="88">
        <v>1680</v>
      </c>
      <c r="E71" s="89">
        <v>1680</v>
      </c>
      <c r="F71" s="88">
        <v>1680</v>
      </c>
      <c r="G71" s="89">
        <v>1680</v>
      </c>
      <c r="H71" s="88">
        <v>1680</v>
      </c>
      <c r="I71" s="89">
        <v>1680</v>
      </c>
      <c r="J71" s="88">
        <v>1680</v>
      </c>
      <c r="K71" s="89">
        <v>1680</v>
      </c>
      <c r="L71" s="6" t="s">
        <v>10</v>
      </c>
      <c r="M71" s="7" t="s">
        <v>561</v>
      </c>
      <c r="N71" s="6" t="s">
        <v>20</v>
      </c>
      <c r="O71" s="7" t="s">
        <v>577</v>
      </c>
    </row>
    <row r="72" spans="1:15" ht="15.75" thickBot="1">
      <c r="A72" s="2" t="s">
        <v>62</v>
      </c>
      <c r="B72" s="88">
        <v>86.4</v>
      </c>
      <c r="C72" s="89">
        <v>86.4</v>
      </c>
      <c r="D72" s="88">
        <v>86.4</v>
      </c>
      <c r="E72" s="89">
        <v>86.4</v>
      </c>
      <c r="F72" s="88">
        <v>86.4</v>
      </c>
      <c r="G72" s="89">
        <v>86.4</v>
      </c>
      <c r="H72" s="88">
        <v>86.4</v>
      </c>
      <c r="I72" s="89">
        <v>86.4</v>
      </c>
      <c r="J72" s="88">
        <v>86.4</v>
      </c>
      <c r="K72" s="89">
        <v>86.4</v>
      </c>
      <c r="L72" s="6" t="s">
        <v>10</v>
      </c>
      <c r="M72" s="7" t="s">
        <v>563</v>
      </c>
      <c r="N72" s="6" t="s">
        <v>20</v>
      </c>
      <c r="O72" s="7" t="s">
        <v>577</v>
      </c>
    </row>
    <row r="73" spans="1:15" ht="15.75" thickBot="1">
      <c r="A73" s="2" t="s">
        <v>67</v>
      </c>
      <c r="B73" s="88">
        <v>750</v>
      </c>
      <c r="C73" s="89">
        <v>750</v>
      </c>
      <c r="D73" s="88">
        <v>750</v>
      </c>
      <c r="E73" s="89">
        <v>750</v>
      </c>
      <c r="F73" s="88">
        <v>750</v>
      </c>
      <c r="G73" s="89">
        <v>750</v>
      </c>
      <c r="H73" s="88">
        <v>750</v>
      </c>
      <c r="I73" s="89">
        <v>750</v>
      </c>
      <c r="J73" s="88">
        <v>750</v>
      </c>
      <c r="K73" s="89">
        <v>750</v>
      </c>
      <c r="L73" s="6" t="s">
        <v>10</v>
      </c>
      <c r="M73" s="7" t="s">
        <v>561</v>
      </c>
      <c r="N73" s="6" t="s">
        <v>20</v>
      </c>
      <c r="O73" s="7" t="s">
        <v>577</v>
      </c>
    </row>
    <row r="74" spans="1:15" ht="15.75" thickBot="1">
      <c r="A74" s="2" t="s">
        <v>71</v>
      </c>
      <c r="B74" s="88">
        <v>34</v>
      </c>
      <c r="C74" s="89">
        <v>34</v>
      </c>
      <c r="D74" s="88">
        <v>34</v>
      </c>
      <c r="E74" s="89">
        <v>0</v>
      </c>
      <c r="F74" s="88">
        <v>0</v>
      </c>
      <c r="G74" s="89">
        <v>0</v>
      </c>
      <c r="H74" s="88">
        <v>0</v>
      </c>
      <c r="I74" s="89">
        <v>0</v>
      </c>
      <c r="J74" s="88">
        <v>0</v>
      </c>
      <c r="K74" s="89">
        <v>0</v>
      </c>
      <c r="L74" s="6" t="s">
        <v>10</v>
      </c>
      <c r="M74" s="7" t="s">
        <v>561</v>
      </c>
      <c r="N74" s="6" t="s">
        <v>20</v>
      </c>
      <c r="O74" s="7" t="s">
        <v>577</v>
      </c>
    </row>
    <row r="75" spans="1:15" ht="15.75" thickBot="1">
      <c r="A75" s="2" t="s">
        <v>73</v>
      </c>
      <c r="B75" s="88">
        <v>852</v>
      </c>
      <c r="C75" s="89">
        <v>852</v>
      </c>
      <c r="D75" s="88">
        <v>852</v>
      </c>
      <c r="E75" s="89">
        <v>852</v>
      </c>
      <c r="F75" s="88">
        <v>852</v>
      </c>
      <c r="G75" s="89">
        <v>852</v>
      </c>
      <c r="H75" s="88">
        <v>852</v>
      </c>
      <c r="I75" s="89">
        <v>852</v>
      </c>
      <c r="J75" s="88">
        <v>852</v>
      </c>
      <c r="K75" s="89">
        <v>852</v>
      </c>
      <c r="L75" s="6" t="s">
        <v>10</v>
      </c>
      <c r="M75" s="7" t="s">
        <v>561</v>
      </c>
      <c r="N75" s="6" t="s">
        <v>20</v>
      </c>
      <c r="O75" s="7" t="s">
        <v>577</v>
      </c>
    </row>
    <row r="76" spans="1:15" ht="15.75" thickBot="1">
      <c r="A76" s="2" t="s">
        <v>76</v>
      </c>
      <c r="B76" s="88">
        <v>428</v>
      </c>
      <c r="C76" s="89">
        <v>428</v>
      </c>
      <c r="D76" s="88">
        <v>428</v>
      </c>
      <c r="E76" s="89">
        <v>428</v>
      </c>
      <c r="F76" s="88">
        <v>428</v>
      </c>
      <c r="G76" s="89">
        <v>428</v>
      </c>
      <c r="H76" s="88">
        <v>428</v>
      </c>
      <c r="I76" s="89">
        <v>428</v>
      </c>
      <c r="J76" s="88">
        <v>428</v>
      </c>
      <c r="K76" s="89">
        <v>428</v>
      </c>
      <c r="L76" s="6" t="s">
        <v>10</v>
      </c>
      <c r="M76" s="7" t="s">
        <v>561</v>
      </c>
      <c r="N76" s="6" t="s">
        <v>20</v>
      </c>
      <c r="O76" s="7" t="s">
        <v>577</v>
      </c>
    </row>
    <row r="77" spans="1:15" ht="15.75" thickBot="1">
      <c r="A77" s="2" t="s">
        <v>78</v>
      </c>
      <c r="B77" s="88">
        <v>346</v>
      </c>
      <c r="C77" s="89">
        <v>346</v>
      </c>
      <c r="D77" s="88">
        <v>346</v>
      </c>
      <c r="E77" s="89">
        <v>346</v>
      </c>
      <c r="F77" s="88">
        <v>346</v>
      </c>
      <c r="G77" s="89">
        <v>346</v>
      </c>
      <c r="H77" s="88">
        <v>346</v>
      </c>
      <c r="I77" s="89">
        <v>346</v>
      </c>
      <c r="J77" s="88">
        <v>346</v>
      </c>
      <c r="K77" s="89">
        <v>346</v>
      </c>
      <c r="L77" s="6" t="s">
        <v>10</v>
      </c>
      <c r="M77" s="7" t="s">
        <v>561</v>
      </c>
      <c r="N77" s="6" t="s">
        <v>20</v>
      </c>
      <c r="O77" s="7" t="s">
        <v>577</v>
      </c>
    </row>
    <row r="78" spans="1:15" ht="15.75" thickBot="1">
      <c r="A78" s="2" t="s">
        <v>81</v>
      </c>
      <c r="B78" s="88">
        <v>68</v>
      </c>
      <c r="C78" s="89">
        <v>68</v>
      </c>
      <c r="D78" s="88">
        <v>68</v>
      </c>
      <c r="E78" s="89">
        <v>68</v>
      </c>
      <c r="F78" s="88">
        <v>68</v>
      </c>
      <c r="G78" s="89">
        <v>68</v>
      </c>
      <c r="H78" s="88">
        <v>68</v>
      </c>
      <c r="I78" s="89">
        <v>68</v>
      </c>
      <c r="J78" s="88">
        <v>68</v>
      </c>
      <c r="K78" s="89">
        <v>68</v>
      </c>
      <c r="L78" s="6" t="s">
        <v>10</v>
      </c>
      <c r="M78" s="7" t="s">
        <v>561</v>
      </c>
      <c r="N78" s="6" t="s">
        <v>20</v>
      </c>
      <c r="O78" s="7" t="s">
        <v>577</v>
      </c>
    </row>
    <row r="79" spans="1:15" ht="15.75" thickBot="1">
      <c r="A79" s="2" t="s">
        <v>82</v>
      </c>
      <c r="B79" s="88">
        <v>1460</v>
      </c>
      <c r="C79" s="89">
        <v>1460</v>
      </c>
      <c r="D79" s="88">
        <v>1460</v>
      </c>
      <c r="E79" s="89">
        <v>1460</v>
      </c>
      <c r="F79" s="88">
        <v>1460</v>
      </c>
      <c r="G79" s="89">
        <v>1460</v>
      </c>
      <c r="H79" s="88">
        <v>1460</v>
      </c>
      <c r="I79" s="89">
        <v>1460</v>
      </c>
      <c r="J79" s="88">
        <v>1460</v>
      </c>
      <c r="K79" s="89">
        <v>1460</v>
      </c>
      <c r="L79" s="6" t="s">
        <v>10</v>
      </c>
      <c r="M79" s="7" t="s">
        <v>561</v>
      </c>
      <c r="N79" s="6" t="s">
        <v>20</v>
      </c>
      <c r="O79" s="7" t="s">
        <v>577</v>
      </c>
    </row>
    <row r="80" spans="1:15" ht="15.75" thickBot="1">
      <c r="A80" s="2" t="s">
        <v>84</v>
      </c>
      <c r="B80" s="88">
        <v>365</v>
      </c>
      <c r="C80" s="89">
        <v>365</v>
      </c>
      <c r="D80" s="88">
        <v>365</v>
      </c>
      <c r="E80" s="89">
        <v>365</v>
      </c>
      <c r="F80" s="88">
        <v>365</v>
      </c>
      <c r="G80" s="89">
        <v>365</v>
      </c>
      <c r="H80" s="88">
        <v>365</v>
      </c>
      <c r="I80" s="89">
        <v>365</v>
      </c>
      <c r="J80" s="88">
        <v>365</v>
      </c>
      <c r="K80" s="89">
        <v>365</v>
      </c>
      <c r="L80" s="6" t="s">
        <v>10</v>
      </c>
      <c r="M80" s="7" t="s">
        <v>561</v>
      </c>
      <c r="N80" s="6" t="s">
        <v>20</v>
      </c>
      <c r="O80" s="7" t="s">
        <v>577</v>
      </c>
    </row>
    <row r="81" spans="1:15" ht="15.75" thickBot="1">
      <c r="A81" s="2" t="s">
        <v>87</v>
      </c>
      <c r="B81" s="88">
        <v>1400</v>
      </c>
      <c r="C81" s="89">
        <v>1400</v>
      </c>
      <c r="D81" s="88">
        <v>1400</v>
      </c>
      <c r="E81" s="89">
        <v>1400</v>
      </c>
      <c r="F81" s="88">
        <v>1400</v>
      </c>
      <c r="G81" s="89">
        <v>1400</v>
      </c>
      <c r="H81" s="88">
        <v>1400</v>
      </c>
      <c r="I81" s="89">
        <v>1400</v>
      </c>
      <c r="J81" s="88">
        <v>1400</v>
      </c>
      <c r="K81" s="89">
        <v>1400</v>
      </c>
      <c r="L81" s="6" t="s">
        <v>10</v>
      </c>
      <c r="M81" s="7" t="s">
        <v>561</v>
      </c>
      <c r="N81" s="6" t="s">
        <v>20</v>
      </c>
      <c r="O81" s="7" t="s">
        <v>577</v>
      </c>
    </row>
    <row r="82" spans="1:15" ht="15.75" thickBot="1">
      <c r="A82" s="2" t="s">
        <v>89</v>
      </c>
      <c r="B82" s="88">
        <v>443</v>
      </c>
      <c r="C82" s="89">
        <v>443</v>
      </c>
      <c r="D82" s="88">
        <v>443</v>
      </c>
      <c r="E82" s="89">
        <v>443</v>
      </c>
      <c r="F82" s="88">
        <v>443</v>
      </c>
      <c r="G82" s="89">
        <v>443</v>
      </c>
      <c r="H82" s="88">
        <v>443</v>
      </c>
      <c r="I82" s="89">
        <v>443</v>
      </c>
      <c r="J82" s="88">
        <v>443</v>
      </c>
      <c r="K82" s="89">
        <v>443</v>
      </c>
      <c r="L82" s="6" t="s">
        <v>10</v>
      </c>
      <c r="M82" s="7" t="s">
        <v>561</v>
      </c>
      <c r="N82" s="6" t="s">
        <v>20</v>
      </c>
      <c r="O82" s="7" t="s">
        <v>577</v>
      </c>
    </row>
    <row r="83" spans="1:15" ht="15.75" thickBot="1">
      <c r="A83" s="2" t="s">
        <v>91</v>
      </c>
      <c r="B83" s="88">
        <v>245</v>
      </c>
      <c r="C83" s="89">
        <v>243</v>
      </c>
      <c r="D83" s="88">
        <v>243</v>
      </c>
      <c r="E83" s="89">
        <v>243</v>
      </c>
      <c r="F83" s="88">
        <v>242</v>
      </c>
      <c r="G83" s="89">
        <v>242</v>
      </c>
      <c r="H83" s="88">
        <v>241</v>
      </c>
      <c r="I83" s="89">
        <v>241</v>
      </c>
      <c r="J83" s="88">
        <v>241</v>
      </c>
      <c r="K83" s="89">
        <v>240</v>
      </c>
      <c r="L83" s="6" t="s">
        <v>10</v>
      </c>
      <c r="M83" s="7" t="s">
        <v>561</v>
      </c>
      <c r="N83" s="6" t="s">
        <v>20</v>
      </c>
      <c r="O83" s="7" t="s">
        <v>577</v>
      </c>
    </row>
    <row r="84" spans="1:15" ht="15.75" thickBot="1">
      <c r="A84" s="2" t="s">
        <v>93</v>
      </c>
      <c r="B84" s="88">
        <v>570</v>
      </c>
      <c r="C84" s="89">
        <v>570</v>
      </c>
      <c r="D84" s="88">
        <v>570</v>
      </c>
      <c r="E84" s="89">
        <v>570</v>
      </c>
      <c r="F84" s="88">
        <v>570</v>
      </c>
      <c r="G84" s="89">
        <v>570</v>
      </c>
      <c r="H84" s="88">
        <v>570</v>
      </c>
      <c r="I84" s="89">
        <v>570</v>
      </c>
      <c r="J84" s="88">
        <v>570</v>
      </c>
      <c r="K84" s="89">
        <v>570</v>
      </c>
      <c r="L84" s="6" t="s">
        <v>10</v>
      </c>
      <c r="M84" s="7" t="s">
        <v>25</v>
      </c>
      <c r="N84" s="6" t="s">
        <v>20</v>
      </c>
      <c r="O84" s="7" t="s">
        <v>577</v>
      </c>
    </row>
    <row r="85" spans="1:15" ht="15.75" thickBot="1">
      <c r="B85" s="86"/>
      <c r="C85" s="86"/>
      <c r="D85" s="86"/>
      <c r="E85" s="86"/>
      <c r="F85" s="86"/>
      <c r="G85" s="86"/>
      <c r="H85" s="86"/>
      <c r="I85" s="86"/>
      <c r="J85" s="86"/>
      <c r="K85" s="86"/>
    </row>
    <row r="86" spans="1:15" ht="15.75" thickBot="1">
      <c r="A86" s="2" t="s">
        <v>569</v>
      </c>
      <c r="B86" s="88" t="s">
        <v>570</v>
      </c>
      <c r="C86" s="89" t="s">
        <v>570</v>
      </c>
      <c r="D86" s="88" t="s">
        <v>570</v>
      </c>
      <c r="E86" s="89" t="s">
        <v>570</v>
      </c>
      <c r="F86" s="88" t="s">
        <v>570</v>
      </c>
      <c r="G86" s="89" t="s">
        <v>570</v>
      </c>
      <c r="H86" s="88" t="s">
        <v>570</v>
      </c>
      <c r="I86" s="89" t="s">
        <v>570</v>
      </c>
      <c r="J86" s="88" t="s">
        <v>570</v>
      </c>
      <c r="K86" s="89" t="s">
        <v>570</v>
      </c>
      <c r="L86" s="6" t="s">
        <v>14</v>
      </c>
    </row>
    <row r="87" spans="1:15" ht="15.75" thickBot="1">
      <c r="A87" s="2" t="s">
        <v>571</v>
      </c>
      <c r="B87" s="88" t="s">
        <v>570</v>
      </c>
      <c r="C87" s="89" t="s">
        <v>570</v>
      </c>
      <c r="D87" s="88" t="s">
        <v>570</v>
      </c>
      <c r="E87" s="89" t="s">
        <v>570</v>
      </c>
      <c r="F87" s="88" t="s">
        <v>570</v>
      </c>
      <c r="G87" s="89" t="s">
        <v>570</v>
      </c>
      <c r="H87" s="88" t="s">
        <v>570</v>
      </c>
      <c r="I87" s="89" t="s">
        <v>570</v>
      </c>
      <c r="J87" s="88" t="s">
        <v>570</v>
      </c>
      <c r="K87" s="89" t="s">
        <v>570</v>
      </c>
      <c r="L87" s="6" t="s">
        <v>14</v>
      </c>
    </row>
    <row r="88" spans="1:15" ht="15.75" thickBot="1">
      <c r="A88" s="51" t="s">
        <v>95</v>
      </c>
      <c r="B88" s="87">
        <f>SUM(wincapsstable[2019])</f>
        <v>12152.4</v>
      </c>
      <c r="C88" s="87">
        <f>SUM(wincapsstable[2020])</f>
        <v>12150.4</v>
      </c>
      <c r="D88" s="87">
        <f>SUM(wincapsstable[2021])</f>
        <v>12150.4</v>
      </c>
      <c r="E88" s="87">
        <f>SUM(wincapsstable[2022])</f>
        <v>12116.4</v>
      </c>
      <c r="F88" s="87">
        <f>SUM(wincapsstable[2023])</f>
        <v>12128.4</v>
      </c>
      <c r="G88" s="87">
        <f>SUM(wincapsstable[2024])</f>
        <v>12128.4</v>
      </c>
      <c r="H88" s="87">
        <f>SUM(wincapsstable[2025])</f>
        <v>12127.4</v>
      </c>
      <c r="I88" s="87">
        <f>SUM(wincapsstable[2026])</f>
        <v>12127.4</v>
      </c>
      <c r="J88" s="87">
        <f>SUM(wincapsstable[2027])</f>
        <v>12127.4</v>
      </c>
      <c r="K88" s="87">
        <f>SUM(wincapsstable[2028])</f>
        <v>12126.4</v>
      </c>
      <c r="L88" s="52"/>
    </row>
    <row r="89" spans="1:15" ht="15.75" thickBot="1"/>
    <row r="90" spans="1:15" ht="20.25" thickBot="1">
      <c r="A90" s="29" t="s">
        <v>581</v>
      </c>
    </row>
    <row r="91" spans="1:15" ht="15.75" thickBot="1">
      <c r="A91" s="81" t="s">
        <v>558</v>
      </c>
      <c r="B91" s="81" t="s">
        <v>643</v>
      </c>
      <c r="C91" s="81" t="s">
        <v>644</v>
      </c>
      <c r="D91" s="81" t="s">
        <v>645</v>
      </c>
      <c r="E91" s="81" t="s">
        <v>646</v>
      </c>
      <c r="F91" s="81" t="s">
        <v>647</v>
      </c>
      <c r="G91" s="81" t="s">
        <v>648</v>
      </c>
      <c r="H91" s="81" t="s">
        <v>649</v>
      </c>
      <c r="I91" s="81" t="s">
        <v>650</v>
      </c>
      <c r="J91" s="81" t="s">
        <v>651</v>
      </c>
      <c r="K91" s="81" t="s">
        <v>652</v>
      </c>
      <c r="L91" s="81" t="s">
        <v>653</v>
      </c>
      <c r="M91" s="53" t="s">
        <v>559</v>
      </c>
      <c r="N91" s="53" t="s">
        <v>7</v>
      </c>
      <c r="O91" s="53" t="s">
        <v>560</v>
      </c>
    </row>
    <row r="92" spans="1:15" ht="15.75" thickBot="1">
      <c r="A92" s="18" t="s">
        <v>736</v>
      </c>
      <c r="B92" s="82">
        <v>0</v>
      </c>
      <c r="C92" s="83">
        <v>34.5</v>
      </c>
      <c r="D92" s="82">
        <v>34.5</v>
      </c>
      <c r="E92" s="83">
        <v>34.5</v>
      </c>
      <c r="F92" s="82">
        <v>34.5</v>
      </c>
      <c r="G92" s="83">
        <v>34.5</v>
      </c>
      <c r="H92" s="82">
        <v>34.5</v>
      </c>
      <c r="I92" s="83">
        <v>34.5</v>
      </c>
      <c r="J92" s="82">
        <v>34.5</v>
      </c>
      <c r="K92" s="83">
        <v>34.5</v>
      </c>
      <c r="L92" s="72" t="s">
        <v>14</v>
      </c>
      <c r="M92" s="22" t="s">
        <v>40</v>
      </c>
      <c r="N92" s="72" t="s">
        <v>20</v>
      </c>
      <c r="O92" s="22" t="s">
        <v>577</v>
      </c>
    </row>
    <row r="93" spans="1:15" ht="15.75" thickBot="1">
      <c r="A93" s="17" t="s">
        <v>296</v>
      </c>
      <c r="B93" s="84">
        <v>56</v>
      </c>
      <c r="C93" s="85">
        <v>56</v>
      </c>
      <c r="D93" s="84">
        <v>56</v>
      </c>
      <c r="E93" s="85">
        <v>56</v>
      </c>
      <c r="F93" s="84">
        <v>56</v>
      </c>
      <c r="G93" s="85">
        <v>56</v>
      </c>
      <c r="H93" s="84">
        <v>56</v>
      </c>
      <c r="I93" s="85">
        <v>56</v>
      </c>
      <c r="J93" s="84">
        <v>56</v>
      </c>
      <c r="K93" s="85">
        <v>56</v>
      </c>
      <c r="L93" s="71" t="s">
        <v>14</v>
      </c>
      <c r="M93" s="21" t="s">
        <v>40</v>
      </c>
      <c r="N93" s="71" t="s">
        <v>20</v>
      </c>
      <c r="O93" s="21" t="s">
        <v>577</v>
      </c>
    </row>
    <row r="94" spans="1:15" ht="15.75" thickBot="1">
      <c r="A94" s="17" t="s">
        <v>48</v>
      </c>
      <c r="B94" s="84">
        <v>80.400000000000006</v>
      </c>
      <c r="C94" s="85">
        <v>79.8</v>
      </c>
      <c r="D94" s="84">
        <v>79.2</v>
      </c>
      <c r="E94" s="85">
        <v>78.7</v>
      </c>
      <c r="F94" s="84">
        <v>78.099999999999994</v>
      </c>
      <c r="G94" s="85">
        <v>77.599999999999994</v>
      </c>
      <c r="H94" s="84">
        <v>77</v>
      </c>
      <c r="I94" s="85">
        <v>76.5</v>
      </c>
      <c r="J94" s="84">
        <v>76</v>
      </c>
      <c r="K94" s="85">
        <v>75.400000000000006</v>
      </c>
      <c r="L94" s="71" t="s">
        <v>14</v>
      </c>
      <c r="M94" s="21" t="s">
        <v>40</v>
      </c>
      <c r="N94" s="71" t="s">
        <v>20</v>
      </c>
      <c r="O94" s="21" t="s">
        <v>577</v>
      </c>
    </row>
    <row r="95" spans="1:15" ht="15.75" thickBot="1">
      <c r="A95" s="17" t="s">
        <v>100</v>
      </c>
      <c r="B95" s="84">
        <v>75</v>
      </c>
      <c r="C95" s="85">
        <v>75</v>
      </c>
      <c r="D95" s="84">
        <v>75</v>
      </c>
      <c r="E95" s="85">
        <v>75</v>
      </c>
      <c r="F95" s="84">
        <v>75</v>
      </c>
      <c r="G95" s="85">
        <v>75</v>
      </c>
      <c r="H95" s="84">
        <v>75</v>
      </c>
      <c r="I95" s="85">
        <v>75</v>
      </c>
      <c r="J95" s="84">
        <v>75</v>
      </c>
      <c r="K95" s="85">
        <v>75</v>
      </c>
      <c r="L95" s="71" t="s">
        <v>14</v>
      </c>
      <c r="M95" s="21" t="s">
        <v>40</v>
      </c>
      <c r="N95" s="71" t="s">
        <v>20</v>
      </c>
      <c r="O95" s="21" t="s">
        <v>577</v>
      </c>
    </row>
    <row r="96" spans="1:15" ht="15.75" thickBot="1">
      <c r="A96" s="17" t="s">
        <v>102</v>
      </c>
      <c r="B96" s="84">
        <v>42.5</v>
      </c>
      <c r="C96" s="85">
        <v>42.5</v>
      </c>
      <c r="D96" s="84">
        <v>42.5</v>
      </c>
      <c r="E96" s="85">
        <v>42.5</v>
      </c>
      <c r="F96" s="84">
        <v>42.5</v>
      </c>
      <c r="G96" s="85">
        <v>42.5</v>
      </c>
      <c r="H96" s="84">
        <v>42.5</v>
      </c>
      <c r="I96" s="85">
        <v>42.5</v>
      </c>
      <c r="J96" s="84">
        <v>42.5</v>
      </c>
      <c r="K96" s="85">
        <v>42.5</v>
      </c>
      <c r="L96" s="71" t="s">
        <v>14</v>
      </c>
      <c r="M96" s="21" t="s">
        <v>40</v>
      </c>
      <c r="N96" s="71" t="s">
        <v>20</v>
      </c>
      <c r="O96" s="21" t="s">
        <v>577</v>
      </c>
    </row>
    <row r="97" spans="1:15" ht="15.75" thickBot="1">
      <c r="A97" s="17" t="s">
        <v>734</v>
      </c>
      <c r="B97" s="84">
        <v>326</v>
      </c>
      <c r="C97" s="85">
        <v>453</v>
      </c>
      <c r="D97" s="84">
        <v>453</v>
      </c>
      <c r="E97" s="85">
        <v>453</v>
      </c>
      <c r="F97" s="84">
        <v>453</v>
      </c>
      <c r="G97" s="85">
        <v>453</v>
      </c>
      <c r="H97" s="84">
        <v>453</v>
      </c>
      <c r="I97" s="85">
        <v>453</v>
      </c>
      <c r="J97" s="84">
        <v>453</v>
      </c>
      <c r="K97" s="85">
        <v>453</v>
      </c>
      <c r="L97" s="71" t="s">
        <v>14</v>
      </c>
      <c r="M97" s="21" t="s">
        <v>13</v>
      </c>
      <c r="N97" s="71" t="s">
        <v>20</v>
      </c>
      <c r="O97" s="21" t="s">
        <v>577</v>
      </c>
    </row>
    <row r="98" spans="1:15" ht="15.75" thickBot="1">
      <c r="A98" s="17" t="s">
        <v>104</v>
      </c>
      <c r="B98" s="84">
        <v>108.5</v>
      </c>
      <c r="C98" s="85">
        <v>108.5</v>
      </c>
      <c r="D98" s="84">
        <v>108.5</v>
      </c>
      <c r="E98" s="85">
        <v>108.5</v>
      </c>
      <c r="F98" s="84">
        <v>108.5</v>
      </c>
      <c r="G98" s="85">
        <v>108.5</v>
      </c>
      <c r="H98" s="84">
        <v>108.5</v>
      </c>
      <c r="I98" s="85">
        <v>108.5</v>
      </c>
      <c r="J98" s="84">
        <v>108.5</v>
      </c>
      <c r="K98" s="85">
        <v>108.5</v>
      </c>
      <c r="L98" s="71" t="s">
        <v>14</v>
      </c>
      <c r="M98" s="21" t="s">
        <v>40</v>
      </c>
      <c r="N98" s="71" t="s">
        <v>20</v>
      </c>
      <c r="O98" s="21" t="s">
        <v>577</v>
      </c>
    </row>
    <row r="99" spans="1:15" ht="15.75" thickBot="1">
      <c r="A99" s="17" t="s">
        <v>105</v>
      </c>
      <c r="B99" s="84">
        <v>0</v>
      </c>
      <c r="C99" s="85">
        <v>150</v>
      </c>
      <c r="D99" s="84">
        <v>150</v>
      </c>
      <c r="E99" s="85">
        <v>150</v>
      </c>
      <c r="F99" s="84">
        <v>150</v>
      </c>
      <c r="G99" s="85">
        <v>150</v>
      </c>
      <c r="H99" s="84">
        <v>150</v>
      </c>
      <c r="I99" s="85">
        <v>150</v>
      </c>
      <c r="J99" s="84">
        <v>150</v>
      </c>
      <c r="K99" s="85">
        <v>150</v>
      </c>
      <c r="L99" s="71" t="s">
        <v>14</v>
      </c>
      <c r="M99" s="21" t="s">
        <v>40</v>
      </c>
      <c r="N99" s="71" t="s">
        <v>20</v>
      </c>
      <c r="O99" s="21" t="s">
        <v>577</v>
      </c>
    </row>
    <row r="100" spans="1:15" ht="23.25" thickBot="1">
      <c r="A100" s="17" t="s">
        <v>737</v>
      </c>
      <c r="B100" s="84">
        <v>72</v>
      </c>
      <c r="C100" s="85">
        <v>72</v>
      </c>
      <c r="D100" s="84">
        <v>72</v>
      </c>
      <c r="E100" s="85">
        <v>72</v>
      </c>
      <c r="F100" s="84">
        <v>72</v>
      </c>
      <c r="G100" s="85">
        <v>72</v>
      </c>
      <c r="H100" s="84">
        <v>72</v>
      </c>
      <c r="I100" s="85">
        <v>72</v>
      </c>
      <c r="J100" s="84">
        <v>72</v>
      </c>
      <c r="K100" s="85">
        <v>72</v>
      </c>
      <c r="L100" s="71" t="s">
        <v>14</v>
      </c>
      <c r="M100" s="21" t="s">
        <v>40</v>
      </c>
      <c r="N100" s="71" t="s">
        <v>20</v>
      </c>
      <c r="O100" s="21" t="s">
        <v>577</v>
      </c>
    </row>
    <row r="101" spans="1:15" ht="15.75" thickBot="1">
      <c r="A101" s="17" t="s">
        <v>338</v>
      </c>
      <c r="B101" s="84">
        <v>57.5</v>
      </c>
      <c r="C101" s="85">
        <v>57.5</v>
      </c>
      <c r="D101" s="84">
        <v>57.5</v>
      </c>
      <c r="E101" s="85">
        <v>57.5</v>
      </c>
      <c r="F101" s="84">
        <v>57.5</v>
      </c>
      <c r="G101" s="85">
        <v>57.5</v>
      </c>
      <c r="H101" s="84">
        <v>57.5</v>
      </c>
      <c r="I101" s="85">
        <v>57.5</v>
      </c>
      <c r="J101" s="84">
        <v>57.5</v>
      </c>
      <c r="K101" s="85">
        <v>57.5</v>
      </c>
      <c r="L101" s="71" t="s">
        <v>14</v>
      </c>
      <c r="M101" s="21" t="s">
        <v>40</v>
      </c>
      <c r="N101" s="71" t="s">
        <v>20</v>
      </c>
      <c r="O101" s="21" t="s">
        <v>577</v>
      </c>
    </row>
    <row r="102" spans="1:15" ht="15.75" thickBot="1">
      <c r="A102" s="17" t="s">
        <v>107</v>
      </c>
      <c r="B102" s="84">
        <v>97.9</v>
      </c>
      <c r="C102" s="85">
        <v>97.3</v>
      </c>
      <c r="D102" s="84">
        <v>96.7</v>
      </c>
      <c r="E102" s="85">
        <v>96.1</v>
      </c>
      <c r="F102" s="84">
        <v>95.5</v>
      </c>
      <c r="G102" s="85">
        <v>95</v>
      </c>
      <c r="H102" s="84">
        <v>94.4</v>
      </c>
      <c r="I102" s="85">
        <v>93.8</v>
      </c>
      <c r="J102" s="84">
        <v>93.2</v>
      </c>
      <c r="K102" s="85">
        <v>92.6</v>
      </c>
      <c r="L102" s="71" t="s">
        <v>14</v>
      </c>
      <c r="M102" s="21" t="s">
        <v>40</v>
      </c>
      <c r="N102" s="71" t="s">
        <v>20</v>
      </c>
      <c r="O102" s="21" t="s">
        <v>577</v>
      </c>
    </row>
    <row r="103" spans="1:15" ht="15.75" thickBot="1">
      <c r="A103" s="17" t="s">
        <v>109</v>
      </c>
      <c r="B103" s="84">
        <v>0</v>
      </c>
      <c r="C103" s="85">
        <v>50</v>
      </c>
      <c r="D103" s="84">
        <v>50</v>
      </c>
      <c r="E103" s="85">
        <v>50</v>
      </c>
      <c r="F103" s="84">
        <v>50</v>
      </c>
      <c r="G103" s="85">
        <v>50</v>
      </c>
      <c r="H103" s="84">
        <v>50</v>
      </c>
      <c r="I103" s="85">
        <v>50</v>
      </c>
      <c r="J103" s="84">
        <v>50</v>
      </c>
      <c r="K103" s="85">
        <v>50</v>
      </c>
      <c r="L103" s="71" t="s">
        <v>14</v>
      </c>
      <c r="M103" s="21" t="s">
        <v>40</v>
      </c>
      <c r="N103" s="71" t="s">
        <v>20</v>
      </c>
      <c r="O103" s="21" t="s">
        <v>577</v>
      </c>
    </row>
    <row r="104" spans="1:15" ht="15.75" thickBot="1">
      <c r="A104" s="17" t="s">
        <v>110</v>
      </c>
      <c r="B104" s="84">
        <v>15</v>
      </c>
      <c r="C104" s="85">
        <v>15</v>
      </c>
      <c r="D104" s="84">
        <v>15</v>
      </c>
      <c r="E104" s="85">
        <v>15</v>
      </c>
      <c r="F104" s="84">
        <v>15</v>
      </c>
      <c r="G104" s="85">
        <v>15</v>
      </c>
      <c r="H104" s="84">
        <v>15</v>
      </c>
      <c r="I104" s="85">
        <v>15</v>
      </c>
      <c r="J104" s="84">
        <v>15</v>
      </c>
      <c r="K104" s="85">
        <v>15</v>
      </c>
      <c r="L104" s="71" t="s">
        <v>14</v>
      </c>
      <c r="M104" s="21" t="s">
        <v>40</v>
      </c>
      <c r="N104" s="71" t="s">
        <v>20</v>
      </c>
      <c r="O104" s="21" t="s">
        <v>577</v>
      </c>
    </row>
    <row r="105" spans="1:15" ht="15.75" thickBot="1">
      <c r="A105" s="17" t="s">
        <v>111</v>
      </c>
      <c r="B105" s="84">
        <v>2</v>
      </c>
      <c r="C105" s="85">
        <v>2</v>
      </c>
      <c r="D105" s="84">
        <v>2</v>
      </c>
      <c r="E105" s="85">
        <v>2</v>
      </c>
      <c r="F105" s="84">
        <v>2</v>
      </c>
      <c r="G105" s="85">
        <v>2</v>
      </c>
      <c r="H105" s="84">
        <v>2</v>
      </c>
      <c r="I105" s="85">
        <v>2</v>
      </c>
      <c r="J105" s="84">
        <v>2</v>
      </c>
      <c r="K105" s="85">
        <v>2</v>
      </c>
      <c r="L105" s="71" t="s">
        <v>14</v>
      </c>
      <c r="M105" s="21" t="s">
        <v>730</v>
      </c>
      <c r="N105" s="71" t="s">
        <v>20</v>
      </c>
      <c r="O105" s="21" t="s">
        <v>577</v>
      </c>
    </row>
    <row r="106" spans="1:15" ht="15.75" thickBot="1">
      <c r="A106" s="17" t="s">
        <v>112</v>
      </c>
      <c r="B106" s="84">
        <v>43.2</v>
      </c>
      <c r="C106" s="85">
        <v>43.2</v>
      </c>
      <c r="D106" s="84">
        <v>43.2</v>
      </c>
      <c r="E106" s="85">
        <v>43.2</v>
      </c>
      <c r="F106" s="84">
        <v>43.2</v>
      </c>
      <c r="G106" s="85">
        <v>43.2</v>
      </c>
      <c r="H106" s="84">
        <v>43.2</v>
      </c>
      <c r="I106" s="85">
        <v>43.2</v>
      </c>
      <c r="J106" s="84">
        <v>43.2</v>
      </c>
      <c r="K106" s="85">
        <v>43.2</v>
      </c>
      <c r="L106" s="71" t="s">
        <v>14</v>
      </c>
      <c r="M106" s="21" t="s">
        <v>13</v>
      </c>
      <c r="N106" s="71" t="s">
        <v>20</v>
      </c>
      <c r="O106" s="21" t="s">
        <v>577</v>
      </c>
    </row>
    <row r="107" spans="1:15" ht="15.75" thickBot="1">
      <c r="A107" s="17" t="s">
        <v>64</v>
      </c>
      <c r="B107" s="84">
        <v>48.5</v>
      </c>
      <c r="C107" s="85">
        <v>48.5</v>
      </c>
      <c r="D107" s="84">
        <v>48.5</v>
      </c>
      <c r="E107" s="85">
        <v>48.5</v>
      </c>
      <c r="F107" s="84">
        <v>48.5</v>
      </c>
      <c r="G107" s="85">
        <v>48.5</v>
      </c>
      <c r="H107" s="84">
        <v>48.5</v>
      </c>
      <c r="I107" s="85">
        <v>48.5</v>
      </c>
      <c r="J107" s="84">
        <v>48.5</v>
      </c>
      <c r="K107" s="85">
        <v>48.5</v>
      </c>
      <c r="L107" s="71" t="s">
        <v>14</v>
      </c>
      <c r="M107" s="21" t="s">
        <v>40</v>
      </c>
      <c r="N107" s="71" t="s">
        <v>20</v>
      </c>
      <c r="O107" s="21" t="s">
        <v>577</v>
      </c>
    </row>
    <row r="108" spans="1:15" ht="15.75" thickBot="1">
      <c r="A108" s="17" t="s">
        <v>114</v>
      </c>
      <c r="B108" s="84">
        <v>80.400000000000006</v>
      </c>
      <c r="C108" s="85">
        <v>79.8</v>
      </c>
      <c r="D108" s="84">
        <v>79.2</v>
      </c>
      <c r="E108" s="85">
        <v>78.7</v>
      </c>
      <c r="F108" s="84">
        <v>78.099999999999994</v>
      </c>
      <c r="G108" s="85">
        <v>77.599999999999994</v>
      </c>
      <c r="H108" s="84">
        <v>77</v>
      </c>
      <c r="I108" s="85">
        <v>76.5</v>
      </c>
      <c r="J108" s="84">
        <v>76</v>
      </c>
      <c r="K108" s="85">
        <v>75.400000000000006</v>
      </c>
      <c r="L108" s="71" t="s">
        <v>14</v>
      </c>
      <c r="M108" s="21" t="s">
        <v>40</v>
      </c>
      <c r="N108" s="71" t="s">
        <v>20</v>
      </c>
      <c r="O108" s="21" t="s">
        <v>577</v>
      </c>
    </row>
    <row r="109" spans="1:15" ht="15.75" thickBot="1">
      <c r="A109" s="17" t="s">
        <v>116</v>
      </c>
      <c r="B109" s="84">
        <v>180.45</v>
      </c>
      <c r="C109" s="85">
        <v>180.45</v>
      </c>
      <c r="D109" s="84">
        <v>180.45</v>
      </c>
      <c r="E109" s="85">
        <v>180.45</v>
      </c>
      <c r="F109" s="84">
        <v>180.45</v>
      </c>
      <c r="G109" s="85">
        <v>180.45</v>
      </c>
      <c r="H109" s="84">
        <v>180.45</v>
      </c>
      <c r="I109" s="85">
        <v>180.45</v>
      </c>
      <c r="J109" s="84">
        <v>180.45</v>
      </c>
      <c r="K109" s="85">
        <v>180.45</v>
      </c>
      <c r="L109" s="71" t="s">
        <v>14</v>
      </c>
      <c r="M109" s="21" t="s">
        <v>13</v>
      </c>
      <c r="N109" s="71" t="s">
        <v>20</v>
      </c>
      <c r="O109" s="21" t="s">
        <v>577</v>
      </c>
    </row>
    <row r="110" spans="1:15" ht="15.75" thickBot="1">
      <c r="A110" s="17" t="s">
        <v>118</v>
      </c>
      <c r="B110" s="84">
        <v>55</v>
      </c>
      <c r="C110" s="85">
        <v>55</v>
      </c>
      <c r="D110" s="84">
        <v>55</v>
      </c>
      <c r="E110" s="85">
        <v>55</v>
      </c>
      <c r="F110" s="84">
        <v>55</v>
      </c>
      <c r="G110" s="85">
        <v>55</v>
      </c>
      <c r="H110" s="84">
        <v>55</v>
      </c>
      <c r="I110" s="85">
        <v>55</v>
      </c>
      <c r="J110" s="84">
        <v>55</v>
      </c>
      <c r="K110" s="85">
        <v>55</v>
      </c>
      <c r="L110" s="71" t="s">
        <v>14</v>
      </c>
      <c r="M110" s="21" t="s">
        <v>40</v>
      </c>
      <c r="N110" s="71" t="s">
        <v>20</v>
      </c>
      <c r="O110" s="21" t="s">
        <v>577</v>
      </c>
    </row>
    <row r="111" spans="1:15" ht="15.75" thickBot="1">
      <c r="A111" s="17" t="s">
        <v>120</v>
      </c>
      <c r="B111" s="84">
        <v>25</v>
      </c>
      <c r="C111" s="85">
        <v>25</v>
      </c>
      <c r="D111" s="84">
        <v>25</v>
      </c>
      <c r="E111" s="85">
        <v>25</v>
      </c>
      <c r="F111" s="84">
        <v>25</v>
      </c>
      <c r="G111" s="85">
        <v>25</v>
      </c>
      <c r="H111" s="84">
        <v>25</v>
      </c>
      <c r="I111" s="85">
        <v>25</v>
      </c>
      <c r="J111" s="84">
        <v>25</v>
      </c>
      <c r="K111" s="85">
        <v>25</v>
      </c>
      <c r="L111" s="71" t="s">
        <v>14</v>
      </c>
      <c r="M111" s="21" t="s">
        <v>40</v>
      </c>
      <c r="N111" s="71" t="s">
        <v>20</v>
      </c>
      <c r="O111" s="21" t="s">
        <v>577</v>
      </c>
    </row>
    <row r="112" spans="1:15" ht="15.75" thickBot="1">
      <c r="A112" s="17" t="s">
        <v>122</v>
      </c>
      <c r="B112" s="84">
        <v>116</v>
      </c>
      <c r="C112" s="85">
        <v>116</v>
      </c>
      <c r="D112" s="84">
        <v>116</v>
      </c>
      <c r="E112" s="85">
        <v>116</v>
      </c>
      <c r="F112" s="84">
        <v>116</v>
      </c>
      <c r="G112" s="85">
        <v>116</v>
      </c>
      <c r="H112" s="84">
        <v>116</v>
      </c>
      <c r="I112" s="85">
        <v>116</v>
      </c>
      <c r="J112" s="84">
        <v>116</v>
      </c>
      <c r="K112" s="85">
        <v>116</v>
      </c>
      <c r="L112" s="71" t="s">
        <v>14</v>
      </c>
      <c r="M112" s="21" t="s">
        <v>40</v>
      </c>
      <c r="N112" s="71" t="s">
        <v>20</v>
      </c>
      <c r="O112" s="21" t="s">
        <v>577</v>
      </c>
    </row>
    <row r="113" spans="1:15" ht="23.25" thickBot="1">
      <c r="A113" s="17" t="s">
        <v>738</v>
      </c>
      <c r="B113" s="84">
        <v>65</v>
      </c>
      <c r="C113" s="85">
        <v>65</v>
      </c>
      <c r="D113" s="84">
        <v>65</v>
      </c>
      <c r="E113" s="85">
        <v>65</v>
      </c>
      <c r="F113" s="84">
        <v>65</v>
      </c>
      <c r="G113" s="85">
        <v>65</v>
      </c>
      <c r="H113" s="84">
        <v>65</v>
      </c>
      <c r="I113" s="85">
        <v>65</v>
      </c>
      <c r="J113" s="84">
        <v>65</v>
      </c>
      <c r="K113" s="85">
        <v>65</v>
      </c>
      <c r="L113" s="71" t="s">
        <v>14</v>
      </c>
      <c r="M113" s="21" t="s">
        <v>40</v>
      </c>
      <c r="N113" s="71" t="s">
        <v>20</v>
      </c>
      <c r="O113" s="21" t="s">
        <v>577</v>
      </c>
    </row>
    <row r="114" spans="1:15" ht="15.75" thickBot="1">
      <c r="A114" s="17" t="s">
        <v>193</v>
      </c>
      <c r="B114" s="84">
        <v>124</v>
      </c>
      <c r="C114" s="85">
        <v>124</v>
      </c>
      <c r="D114" s="84">
        <v>124</v>
      </c>
      <c r="E114" s="85">
        <v>124</v>
      </c>
      <c r="F114" s="84">
        <v>124</v>
      </c>
      <c r="G114" s="85">
        <v>124</v>
      </c>
      <c r="H114" s="84">
        <v>124</v>
      </c>
      <c r="I114" s="85">
        <v>124</v>
      </c>
      <c r="J114" s="84">
        <v>124</v>
      </c>
      <c r="K114" s="85">
        <v>124</v>
      </c>
      <c r="L114" s="71" t="s">
        <v>14</v>
      </c>
      <c r="M114" s="21" t="s">
        <v>40</v>
      </c>
      <c r="N114" s="71" t="s">
        <v>20</v>
      </c>
      <c r="O114" s="21" t="s">
        <v>577</v>
      </c>
    </row>
    <row r="115" spans="1:15" ht="15.75" thickBot="1">
      <c r="A115" s="17" t="s">
        <v>402</v>
      </c>
      <c r="B115" s="84">
        <v>75</v>
      </c>
      <c r="C115" s="85">
        <v>75</v>
      </c>
      <c r="D115" s="84">
        <v>75</v>
      </c>
      <c r="E115" s="85">
        <v>75</v>
      </c>
      <c r="F115" s="84">
        <v>75</v>
      </c>
      <c r="G115" s="85">
        <v>75</v>
      </c>
      <c r="H115" s="84">
        <v>75</v>
      </c>
      <c r="I115" s="85">
        <v>75</v>
      </c>
      <c r="J115" s="84">
        <v>75</v>
      </c>
      <c r="K115" s="85">
        <v>75</v>
      </c>
      <c r="L115" s="71" t="s">
        <v>14</v>
      </c>
      <c r="M115" s="21" t="s">
        <v>40</v>
      </c>
      <c r="N115" s="71" t="s">
        <v>20</v>
      </c>
      <c r="O115" s="21" t="s">
        <v>577</v>
      </c>
    </row>
    <row r="116" spans="1:15" ht="15.75" thickBot="1">
      <c r="A116" s="17" t="s">
        <v>406</v>
      </c>
      <c r="B116" s="84">
        <v>52.5</v>
      </c>
      <c r="C116" s="85">
        <v>52.5</v>
      </c>
      <c r="D116" s="84">
        <v>52.5</v>
      </c>
      <c r="E116" s="85">
        <v>52.5</v>
      </c>
      <c r="F116" s="84">
        <v>52.5</v>
      </c>
      <c r="G116" s="85">
        <v>52.5</v>
      </c>
      <c r="H116" s="84">
        <v>52.5</v>
      </c>
      <c r="I116" s="85">
        <v>52.5</v>
      </c>
      <c r="J116" s="84">
        <v>52.5</v>
      </c>
      <c r="K116" s="85">
        <v>52.5</v>
      </c>
      <c r="L116" s="71" t="s">
        <v>14</v>
      </c>
      <c r="M116" s="21" t="s">
        <v>40</v>
      </c>
      <c r="N116" s="71" t="s">
        <v>20</v>
      </c>
      <c r="O116" s="21" t="s">
        <v>577</v>
      </c>
    </row>
    <row r="117" spans="1:15" ht="15.75" thickBot="1">
      <c r="A117" s="17" t="s">
        <v>748</v>
      </c>
      <c r="B117" s="84">
        <v>0</v>
      </c>
      <c r="C117" s="85">
        <v>64.2</v>
      </c>
      <c r="D117" s="84">
        <v>64.2</v>
      </c>
      <c r="E117" s="85">
        <v>64.2</v>
      </c>
      <c r="F117" s="84">
        <v>64.2</v>
      </c>
      <c r="G117" s="85">
        <v>64.2</v>
      </c>
      <c r="H117" s="84">
        <v>64.2</v>
      </c>
      <c r="I117" s="85">
        <v>64.2</v>
      </c>
      <c r="J117" s="84">
        <v>64.2</v>
      </c>
      <c r="K117" s="85">
        <v>64.2</v>
      </c>
      <c r="L117" s="71" t="s">
        <v>14</v>
      </c>
      <c r="M117" s="21" t="s">
        <v>40</v>
      </c>
      <c r="N117" s="71" t="s">
        <v>20</v>
      </c>
      <c r="O117" s="21" t="s">
        <v>577</v>
      </c>
    </row>
    <row r="118" spans="1:15" ht="15.75" thickBot="1">
      <c r="A118" s="17" t="s">
        <v>125</v>
      </c>
      <c r="B118" s="84">
        <v>57.5</v>
      </c>
      <c r="C118" s="85">
        <v>57.5</v>
      </c>
      <c r="D118" s="84">
        <v>57.5</v>
      </c>
      <c r="E118" s="85">
        <v>57.5</v>
      </c>
      <c r="F118" s="84">
        <v>57.5</v>
      </c>
      <c r="G118" s="85">
        <v>57.5</v>
      </c>
      <c r="H118" s="84">
        <v>57.5</v>
      </c>
      <c r="I118" s="85">
        <v>57.5</v>
      </c>
      <c r="J118" s="84">
        <v>57.5</v>
      </c>
      <c r="K118" s="85">
        <v>57.5</v>
      </c>
      <c r="L118" s="71" t="s">
        <v>14</v>
      </c>
      <c r="M118" s="21" t="s">
        <v>40</v>
      </c>
      <c r="N118" s="71" t="s">
        <v>20</v>
      </c>
      <c r="O118" s="21" t="s">
        <v>577</v>
      </c>
    </row>
    <row r="119" spans="1:15" ht="15.75" thickBot="1">
      <c r="A119" s="17" t="s">
        <v>423</v>
      </c>
      <c r="B119" s="84">
        <v>0</v>
      </c>
      <c r="C119" s="85">
        <v>102.5</v>
      </c>
      <c r="D119" s="84">
        <v>102.5</v>
      </c>
      <c r="E119" s="85">
        <v>102.5</v>
      </c>
      <c r="F119" s="84">
        <v>102.5</v>
      </c>
      <c r="G119" s="85">
        <v>102.5</v>
      </c>
      <c r="H119" s="84">
        <v>102.5</v>
      </c>
      <c r="I119" s="85">
        <v>102.5</v>
      </c>
      <c r="J119" s="84">
        <v>102.5</v>
      </c>
      <c r="K119" s="85">
        <v>102.5</v>
      </c>
      <c r="L119" s="71" t="s">
        <v>14</v>
      </c>
      <c r="M119" s="21" t="s">
        <v>40</v>
      </c>
      <c r="N119" s="71" t="s">
        <v>20</v>
      </c>
      <c r="O119" s="21" t="s">
        <v>577</v>
      </c>
    </row>
    <row r="120" spans="1:15" ht="15.75" thickBot="1">
      <c r="A120" s="78"/>
      <c r="B120" s="86"/>
      <c r="C120" s="86"/>
      <c r="D120" s="86"/>
      <c r="E120" s="86"/>
      <c r="F120" s="86"/>
      <c r="G120" s="86"/>
      <c r="H120" s="86"/>
      <c r="I120" s="86"/>
      <c r="J120" s="86"/>
      <c r="K120" s="86"/>
      <c r="L120" s="78"/>
      <c r="M120" s="78"/>
      <c r="N120" s="78"/>
      <c r="O120" s="78"/>
    </row>
    <row r="121" spans="1:15" ht="15.75" thickBot="1">
      <c r="A121" s="51" t="s">
        <v>573</v>
      </c>
      <c r="B121" s="87">
        <f>SUMIF(Query2[[FuelType]:[FuelType]],"Wind",Query2[2019])</f>
        <v>549.65</v>
      </c>
      <c r="C121" s="87">
        <f>SUMIF(Query2[[FuelType]:[FuelType]],"Wind",Query2[2020])</f>
        <v>676.65</v>
      </c>
      <c r="D121" s="87">
        <f>SUMIF(Query2[[FuelType]:[FuelType]],"Wind",Query2[2021])</f>
        <v>676.65</v>
      </c>
      <c r="E121" s="87">
        <f>SUMIF(Query2[[FuelType]:[FuelType]],"Wind",Query2[2022])</f>
        <v>676.65</v>
      </c>
      <c r="F121" s="87">
        <f>SUMIF(Query2[[FuelType]:[FuelType]],"Wind",Query2[2023])</f>
        <v>676.65</v>
      </c>
      <c r="G121" s="87">
        <f>SUMIF(Query2[[FuelType]:[FuelType]],"Wind",Query2[2024])</f>
        <v>676.65</v>
      </c>
      <c r="H121" s="87">
        <f>SUMIF(Query2[[FuelType]:[FuelType]],"Wind",Query2[2025])</f>
        <v>676.65</v>
      </c>
      <c r="I121" s="87">
        <f>SUMIF(Query2[[FuelType]:[FuelType]],"Wind",Query2[2026])</f>
        <v>676.65</v>
      </c>
      <c r="J121" s="87">
        <f>SUMIF(Query2[[FuelType]:[FuelType]],"Wind",Query2[2027])</f>
        <v>676.65</v>
      </c>
      <c r="K121" s="87">
        <f>SUMIF(Query2[[FuelType]:[FuelType]],"Wind",Query2[2028])</f>
        <v>676.65</v>
      </c>
      <c r="L121" s="52"/>
      <c r="M121"/>
      <c r="N121"/>
      <c r="O121"/>
    </row>
    <row r="122" spans="1:15" ht="15.75" thickBot="1">
      <c r="A122" s="51" t="s">
        <v>574</v>
      </c>
      <c r="B122" s="87">
        <f>SUMIF(Query2[[FuelType]:[FuelType]],"Solar",Query2[2019])</f>
        <v>1303.6999999999998</v>
      </c>
      <c r="C122" s="87">
        <f>SUMIF(Query2[[FuelType]:[FuelType]],"Solar",Query2[2020])</f>
        <v>1703.1</v>
      </c>
      <c r="D122" s="87">
        <f>SUMIF(Query2[[FuelType]:[FuelType]],"Solar",Query2[2021])</f>
        <v>1701.3000000000002</v>
      </c>
      <c r="E122" s="87">
        <f>SUMIF(Query2[[FuelType]:[FuelType]],"Solar",Query2[2022])</f>
        <v>1699.7</v>
      </c>
      <c r="F122" s="87">
        <f>SUMIF(Query2[[FuelType]:[FuelType]],"Solar",Query2[2023])</f>
        <v>1697.9</v>
      </c>
      <c r="G122" s="87">
        <f>SUMIF(Query2[[FuelType]:[FuelType]],"Solar",Query2[2024])</f>
        <v>1696.4</v>
      </c>
      <c r="H122" s="87">
        <f>SUMIF(Query2[[FuelType]:[FuelType]],"Solar",Query2[2025])</f>
        <v>1694.6000000000001</v>
      </c>
      <c r="I122" s="87">
        <f>SUMIF(Query2[[FuelType]:[FuelType]],"Solar",Query2[2026])</f>
        <v>1693</v>
      </c>
      <c r="J122" s="87">
        <f>SUMIF(Query2[[FuelType]:[FuelType]],"Solar",Query2[2027])</f>
        <v>1691.4</v>
      </c>
      <c r="K122" s="87">
        <f>SUMIF(Query2[[FuelType]:[FuelType]],"Solar",Query2[2028])</f>
        <v>1689.6000000000001</v>
      </c>
      <c r="L122" s="52"/>
      <c r="M122"/>
      <c r="N122"/>
      <c r="O122"/>
    </row>
    <row r="123" spans="1:15" ht="15.75" thickBot="1">
      <c r="A123" s="51" t="s">
        <v>575</v>
      </c>
      <c r="B123" s="87">
        <f>SUMIF(Query2[[FuelType]:[FuelType]],"Storage",Query2[2019])</f>
        <v>0</v>
      </c>
      <c r="C123" s="87">
        <f>SUMIF(Query2[[FuelType]:[FuelType]],"Storage",Query2[2020])</f>
        <v>0</v>
      </c>
      <c r="D123" s="87">
        <f>SUMIF(Query2[[FuelType]:[FuelType]],"Storage",Query2[2021])</f>
        <v>0</v>
      </c>
      <c r="E123" s="87">
        <f>SUMIF(Query2[[FuelType]:[FuelType]],"Storage",Query2[2022])</f>
        <v>0</v>
      </c>
      <c r="F123" s="87">
        <f>SUMIF(Query2[[FuelType]:[FuelType]],"Storage",Query2[2023])</f>
        <v>0</v>
      </c>
      <c r="G123" s="87">
        <f>SUMIF(Query2[[FuelType]:[FuelType]],"Storage",Query2[2024])</f>
        <v>0</v>
      </c>
      <c r="H123" s="87">
        <f>SUMIF(Query2[[FuelType]:[FuelType]],"Storage",Query2[2025])</f>
        <v>0</v>
      </c>
      <c r="I123" s="87">
        <f>SUMIF(Query2[[FuelType]:[FuelType]],"Storage",Query2[2026])</f>
        <v>0</v>
      </c>
      <c r="J123" s="87">
        <f>SUMIF(Query2[[FuelType]:[FuelType]],"Storage",Query2[2027])</f>
        <v>0</v>
      </c>
      <c r="K123" s="87">
        <f>SUMIF(Query2[[FuelType]:[FuelType]],"Storage",Query2[2028])</f>
        <v>0</v>
      </c>
      <c r="L123" s="52"/>
      <c r="M123"/>
      <c r="N123"/>
      <c r="O123"/>
    </row>
  </sheetData>
  <mergeCells count="4">
    <mergeCell ref="A56:L56"/>
    <mergeCell ref="A57:L57"/>
    <mergeCell ref="A58:L58"/>
    <mergeCell ref="A59:L59"/>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zoomScale="110" zoomScaleNormal="110" workbookViewId="0">
      <pane xSplit="1" ySplit="2" topLeftCell="B21" activePane="bottomRight" state="frozen"/>
      <selection pane="topRight" activeCell="B1" sqref="B1"/>
      <selection pane="bottomLeft" activeCell="A3" sqref="A3"/>
      <selection pane="bottomRight"/>
    </sheetView>
  </sheetViews>
  <sheetFormatPr defaultColWidth="9.140625" defaultRowHeight="15"/>
  <cols>
    <col min="1" max="6" width="10.28515625" style="73" bestFit="1" customWidth="1"/>
    <col min="7" max="7" width="11" style="73" hidden="1" customWidth="1"/>
    <col min="8" max="8" width="19.5703125" style="73" hidden="1" customWidth="1"/>
    <col min="9" max="9" width="26.85546875" style="78" hidden="1" customWidth="1"/>
    <col min="10" max="10" width="26.85546875" style="73" hidden="1" customWidth="1"/>
    <col min="11" max="16384" width="9.140625" style="73"/>
  </cols>
  <sheetData>
    <row r="1" spans="1:9" s="25" customFormat="1" ht="20.25" thickBot="1">
      <c r="A1" s="29" t="s">
        <v>127</v>
      </c>
      <c r="I1" s="78"/>
    </row>
    <row r="2" spans="1:9" s="25" customFormat="1" ht="34.5" thickBot="1">
      <c r="A2" s="53" t="s">
        <v>1</v>
      </c>
      <c r="B2" s="53" t="s">
        <v>2</v>
      </c>
      <c r="C2" s="53" t="s">
        <v>128</v>
      </c>
      <c r="D2" s="53" t="s">
        <v>3</v>
      </c>
      <c r="E2" s="53" t="s">
        <v>4</v>
      </c>
      <c r="F2" s="53" t="s">
        <v>6</v>
      </c>
      <c r="G2" s="1" t="s">
        <v>7</v>
      </c>
      <c r="H2" s="1" t="s">
        <v>237</v>
      </c>
      <c r="I2" s="1" t="s">
        <v>233</v>
      </c>
    </row>
    <row r="3" spans="1:9" s="25" customFormat="1" ht="15.75" thickBot="1">
      <c r="A3" s="54" t="s">
        <v>592</v>
      </c>
      <c r="B3" s="55" t="s">
        <v>216</v>
      </c>
      <c r="C3" s="91">
        <v>0.93100000000000005</v>
      </c>
      <c r="D3" s="55" t="s">
        <v>310</v>
      </c>
      <c r="E3" s="74" t="s">
        <v>40</v>
      </c>
      <c r="F3" s="55" t="s">
        <v>129</v>
      </c>
      <c r="G3" s="22" t="s">
        <v>20</v>
      </c>
      <c r="H3" s="16" t="s">
        <v>40</v>
      </c>
      <c r="I3" s="22" t="s">
        <v>228</v>
      </c>
    </row>
    <row r="4" spans="1:9" s="25" customFormat="1" ht="57" thickBot="1">
      <c r="A4" s="57" t="s">
        <v>134</v>
      </c>
      <c r="B4" s="58" t="s">
        <v>135</v>
      </c>
      <c r="C4" s="92">
        <v>20</v>
      </c>
      <c r="D4" s="58" t="s">
        <v>51</v>
      </c>
      <c r="E4" s="75" t="s">
        <v>40</v>
      </c>
      <c r="F4" s="55" t="s">
        <v>129</v>
      </c>
      <c r="G4" s="21" t="s">
        <v>20</v>
      </c>
      <c r="H4" s="15" t="s">
        <v>40</v>
      </c>
      <c r="I4" s="21" t="s">
        <v>228</v>
      </c>
    </row>
    <row r="5" spans="1:9" s="25" customFormat="1" ht="45.75" thickBot="1">
      <c r="A5" s="57" t="s">
        <v>136</v>
      </c>
      <c r="B5" s="58" t="s">
        <v>133</v>
      </c>
      <c r="C5" s="92">
        <v>0.78900000000000003</v>
      </c>
      <c r="D5" s="58" t="s">
        <v>590</v>
      </c>
      <c r="E5" s="75" t="s">
        <v>131</v>
      </c>
      <c r="F5" s="55" t="s">
        <v>129</v>
      </c>
      <c r="G5" s="21" t="s">
        <v>20</v>
      </c>
      <c r="H5" s="15" t="s">
        <v>225</v>
      </c>
      <c r="I5" s="21" t="s">
        <v>228</v>
      </c>
    </row>
    <row r="6" spans="1:9" s="25" customFormat="1" ht="45.75" thickBot="1">
      <c r="A6" s="57" t="s">
        <v>138</v>
      </c>
      <c r="B6" s="58" t="s">
        <v>139</v>
      </c>
      <c r="C6" s="92">
        <v>2.1800000000000002</v>
      </c>
      <c r="D6" s="58" t="s">
        <v>590</v>
      </c>
      <c r="E6" s="75" t="s">
        <v>131</v>
      </c>
      <c r="F6" s="55" t="s">
        <v>129</v>
      </c>
      <c r="G6" s="21" t="s">
        <v>20</v>
      </c>
      <c r="H6" s="15" t="s">
        <v>225</v>
      </c>
      <c r="I6" s="21" t="s">
        <v>228</v>
      </c>
    </row>
    <row r="7" spans="1:9" s="25" customFormat="1" ht="23.25" thickBot="1">
      <c r="A7" s="57" t="s">
        <v>140</v>
      </c>
      <c r="B7" s="58" t="s">
        <v>141</v>
      </c>
      <c r="C7" s="92">
        <v>3.6</v>
      </c>
      <c r="D7" s="58" t="s">
        <v>39</v>
      </c>
      <c r="E7" s="75" t="s">
        <v>40</v>
      </c>
      <c r="F7" s="55" t="s">
        <v>129</v>
      </c>
      <c r="G7" s="21" t="s">
        <v>20</v>
      </c>
      <c r="H7" s="15" t="s">
        <v>40</v>
      </c>
      <c r="I7" s="21" t="s">
        <v>228</v>
      </c>
    </row>
    <row r="8" spans="1:9" s="25" customFormat="1" ht="34.5" thickBot="1">
      <c r="A8" s="57" t="s">
        <v>739</v>
      </c>
      <c r="B8" s="58" t="s">
        <v>216</v>
      </c>
      <c r="C8" s="92">
        <v>0.90720000000000001</v>
      </c>
      <c r="D8" s="58" t="s">
        <v>310</v>
      </c>
      <c r="E8" s="75" t="s">
        <v>40</v>
      </c>
      <c r="F8" s="55" t="s">
        <v>129</v>
      </c>
      <c r="G8" s="21" t="s">
        <v>20</v>
      </c>
      <c r="H8" s="15" t="s">
        <v>40</v>
      </c>
      <c r="I8" s="21" t="s">
        <v>228</v>
      </c>
    </row>
    <row r="9" spans="1:9" s="25" customFormat="1" ht="57" thickBot="1">
      <c r="A9" s="57" t="s">
        <v>142</v>
      </c>
      <c r="B9" s="58" t="s">
        <v>143</v>
      </c>
      <c r="C9" s="92">
        <v>30</v>
      </c>
      <c r="D9" s="58" t="s">
        <v>8</v>
      </c>
      <c r="E9" s="75" t="s">
        <v>34</v>
      </c>
      <c r="F9" s="55" t="s">
        <v>129</v>
      </c>
      <c r="G9" s="21" t="s">
        <v>20</v>
      </c>
      <c r="H9" s="15" t="s">
        <v>224</v>
      </c>
      <c r="I9" s="21" t="s">
        <v>228</v>
      </c>
    </row>
    <row r="10" spans="1:9" s="25" customFormat="1" ht="23.25" thickBot="1">
      <c r="A10" s="57" t="s">
        <v>144</v>
      </c>
      <c r="B10" s="58" t="s">
        <v>145</v>
      </c>
      <c r="C10" s="92">
        <v>7.2</v>
      </c>
      <c r="D10" s="58" t="s">
        <v>39</v>
      </c>
      <c r="E10" s="75" t="s">
        <v>40</v>
      </c>
      <c r="F10" s="55" t="s">
        <v>129</v>
      </c>
      <c r="G10" s="21" t="s">
        <v>20</v>
      </c>
      <c r="H10" s="15" t="s">
        <v>40</v>
      </c>
      <c r="I10" s="21" t="s">
        <v>228</v>
      </c>
    </row>
    <row r="11" spans="1:9" s="25" customFormat="1" ht="57" thickBot="1">
      <c r="A11" s="57" t="s">
        <v>539</v>
      </c>
      <c r="B11" s="58" t="s">
        <v>540</v>
      </c>
      <c r="C11" s="92">
        <v>30</v>
      </c>
      <c r="D11" s="58" t="s">
        <v>28</v>
      </c>
      <c r="E11" s="75" t="s">
        <v>186</v>
      </c>
      <c r="F11" s="55" t="s">
        <v>129</v>
      </c>
      <c r="G11" s="21" t="s">
        <v>20</v>
      </c>
      <c r="H11" s="15" t="s">
        <v>225</v>
      </c>
      <c r="I11" s="21" t="s">
        <v>228</v>
      </c>
    </row>
    <row r="12" spans="1:9" s="25" customFormat="1" ht="34.5" thickBot="1">
      <c r="A12" s="57" t="s">
        <v>146</v>
      </c>
      <c r="B12" s="58" t="s">
        <v>147</v>
      </c>
      <c r="C12" s="92">
        <v>0.40100000000000002</v>
      </c>
      <c r="D12" s="58" t="s">
        <v>39</v>
      </c>
      <c r="E12" s="75" t="s">
        <v>40</v>
      </c>
      <c r="F12" s="55" t="s">
        <v>129</v>
      </c>
      <c r="G12" s="21" t="s">
        <v>20</v>
      </c>
      <c r="H12" s="15" t="s">
        <v>40</v>
      </c>
      <c r="I12" s="21" t="s">
        <v>228</v>
      </c>
    </row>
    <row r="13" spans="1:9" s="25" customFormat="1" ht="45.75" thickBot="1">
      <c r="A13" s="57" t="s">
        <v>148</v>
      </c>
      <c r="B13" s="58" t="s">
        <v>149</v>
      </c>
      <c r="C13" s="92">
        <v>45.01</v>
      </c>
      <c r="D13" s="58" t="s">
        <v>590</v>
      </c>
      <c r="E13" s="75" t="s">
        <v>132</v>
      </c>
      <c r="F13" s="55" t="s">
        <v>129</v>
      </c>
      <c r="G13" s="21" t="s">
        <v>20</v>
      </c>
      <c r="H13" s="15" t="s">
        <v>224</v>
      </c>
      <c r="I13" s="21" t="s">
        <v>228</v>
      </c>
    </row>
    <row r="14" spans="1:9" s="25" customFormat="1" ht="45.75" thickBot="1">
      <c r="A14" s="57" t="s">
        <v>151</v>
      </c>
      <c r="B14" s="58" t="s">
        <v>152</v>
      </c>
      <c r="C14" s="92">
        <v>21</v>
      </c>
      <c r="D14" s="58" t="s">
        <v>590</v>
      </c>
      <c r="E14" s="75" t="s">
        <v>132</v>
      </c>
      <c r="F14" s="55" t="s">
        <v>129</v>
      </c>
      <c r="G14" s="21" t="s">
        <v>20</v>
      </c>
      <c r="H14" s="15" t="s">
        <v>224</v>
      </c>
      <c r="I14" s="21" t="s">
        <v>228</v>
      </c>
    </row>
    <row r="15" spans="1:9" s="25" customFormat="1" ht="34.5" thickBot="1">
      <c r="A15" s="57" t="s">
        <v>153</v>
      </c>
      <c r="B15" s="58" t="s">
        <v>154</v>
      </c>
      <c r="C15" s="92">
        <v>12.5</v>
      </c>
      <c r="D15" s="58" t="s">
        <v>28</v>
      </c>
      <c r="E15" s="75" t="s">
        <v>137</v>
      </c>
      <c r="F15" s="55" t="s">
        <v>129</v>
      </c>
      <c r="G15" s="21" t="s">
        <v>20</v>
      </c>
      <c r="H15" s="15" t="s">
        <v>225</v>
      </c>
      <c r="I15" s="21" t="s">
        <v>228</v>
      </c>
    </row>
    <row r="16" spans="1:9" s="25" customFormat="1" ht="45.75" thickBot="1">
      <c r="A16" s="57" t="s">
        <v>155</v>
      </c>
      <c r="B16" s="58" t="s">
        <v>156</v>
      </c>
      <c r="C16" s="92">
        <v>50.3</v>
      </c>
      <c r="D16" s="58" t="s">
        <v>28</v>
      </c>
      <c r="E16" s="75" t="s">
        <v>137</v>
      </c>
      <c r="F16" s="55" t="s">
        <v>129</v>
      </c>
      <c r="G16" s="21" t="s">
        <v>20</v>
      </c>
      <c r="H16" s="15" t="s">
        <v>225</v>
      </c>
      <c r="I16" s="21" t="s">
        <v>228</v>
      </c>
    </row>
    <row r="17" spans="1:9" s="25" customFormat="1" ht="45.75" thickBot="1">
      <c r="A17" s="57" t="s">
        <v>157</v>
      </c>
      <c r="B17" s="58" t="s">
        <v>27</v>
      </c>
      <c r="C17" s="92">
        <v>25</v>
      </c>
      <c r="D17" s="58" t="s">
        <v>28</v>
      </c>
      <c r="E17" s="75" t="s">
        <v>137</v>
      </c>
      <c r="F17" s="55" t="s">
        <v>129</v>
      </c>
      <c r="G17" s="21" t="s">
        <v>20</v>
      </c>
      <c r="H17" s="15" t="s">
        <v>225</v>
      </c>
      <c r="I17" s="21" t="s">
        <v>228</v>
      </c>
    </row>
    <row r="18" spans="1:9" s="25" customFormat="1" ht="23.25" thickBot="1">
      <c r="A18" s="57" t="s">
        <v>158</v>
      </c>
      <c r="B18" s="58" t="s">
        <v>159</v>
      </c>
      <c r="C18" s="92">
        <v>9</v>
      </c>
      <c r="D18" s="58" t="s">
        <v>28</v>
      </c>
      <c r="E18" s="75" t="s">
        <v>137</v>
      </c>
      <c r="F18" s="55" t="s">
        <v>129</v>
      </c>
      <c r="G18" s="21" t="s">
        <v>20</v>
      </c>
      <c r="H18" s="15" t="s">
        <v>225</v>
      </c>
      <c r="I18" s="21" t="s">
        <v>228</v>
      </c>
    </row>
    <row r="19" spans="1:9" s="25" customFormat="1" ht="34.5" thickBot="1">
      <c r="A19" s="57" t="s">
        <v>160</v>
      </c>
      <c r="B19" s="58" t="s">
        <v>22</v>
      </c>
      <c r="C19" s="92">
        <v>7</v>
      </c>
      <c r="D19" s="58" t="s">
        <v>26</v>
      </c>
      <c r="E19" s="75" t="s">
        <v>25</v>
      </c>
      <c r="F19" s="55" t="s">
        <v>129</v>
      </c>
      <c r="G19" s="21" t="s">
        <v>20</v>
      </c>
      <c r="H19" s="15" t="s">
        <v>25</v>
      </c>
      <c r="I19" s="21" t="s">
        <v>228</v>
      </c>
    </row>
    <row r="20" spans="1:9" s="25" customFormat="1" ht="23.25" thickBot="1">
      <c r="A20" s="57" t="s">
        <v>363</v>
      </c>
      <c r="B20" s="58" t="s">
        <v>364</v>
      </c>
      <c r="C20" s="92">
        <v>4.3</v>
      </c>
      <c r="D20" s="58" t="s">
        <v>26</v>
      </c>
      <c r="E20" s="75" t="s">
        <v>25</v>
      </c>
      <c r="F20" s="55" t="s">
        <v>129</v>
      </c>
      <c r="G20" s="21" t="s">
        <v>20</v>
      </c>
      <c r="H20" s="15" t="s">
        <v>25</v>
      </c>
      <c r="I20" s="21" t="s">
        <v>228</v>
      </c>
    </row>
    <row r="21" spans="1:9" s="25" customFormat="1" ht="45.75" thickBot="1">
      <c r="A21" s="57" t="s">
        <v>617</v>
      </c>
      <c r="B21" s="58" t="s">
        <v>618</v>
      </c>
      <c r="C21" s="92">
        <v>12.5</v>
      </c>
      <c r="D21" s="58" t="s">
        <v>39</v>
      </c>
      <c r="E21" s="75" t="s">
        <v>40</v>
      </c>
      <c r="F21" s="55" t="s">
        <v>129</v>
      </c>
      <c r="G21" s="21" t="s">
        <v>20</v>
      </c>
      <c r="H21" s="15" t="s">
        <v>40</v>
      </c>
      <c r="I21" s="21" t="s">
        <v>228</v>
      </c>
    </row>
    <row r="22" spans="1:9" s="25" customFormat="1" ht="68.25" thickBot="1">
      <c r="A22" s="57" t="s">
        <v>161</v>
      </c>
      <c r="B22" s="58" t="s">
        <v>162</v>
      </c>
      <c r="C22" s="92">
        <v>0.33260000000000001</v>
      </c>
      <c r="D22" s="58" t="s">
        <v>39</v>
      </c>
      <c r="E22" s="75" t="s">
        <v>40</v>
      </c>
      <c r="F22" s="55" t="s">
        <v>129</v>
      </c>
      <c r="G22" s="21" t="s">
        <v>20</v>
      </c>
      <c r="H22" s="15" t="s">
        <v>40</v>
      </c>
      <c r="I22" s="21" t="s">
        <v>228</v>
      </c>
    </row>
    <row r="23" spans="1:9" s="25" customFormat="1" ht="34.5" thickBot="1">
      <c r="A23" s="57" t="s">
        <v>373</v>
      </c>
      <c r="B23" s="58" t="s">
        <v>616</v>
      </c>
      <c r="C23" s="92">
        <v>17</v>
      </c>
      <c r="D23" s="58" t="s">
        <v>39</v>
      </c>
      <c r="E23" s="75" t="s">
        <v>40</v>
      </c>
      <c r="F23" s="55" t="s">
        <v>129</v>
      </c>
      <c r="G23" s="21" t="s">
        <v>20</v>
      </c>
      <c r="H23" s="15" t="s">
        <v>40</v>
      </c>
      <c r="I23" s="21" t="s">
        <v>228</v>
      </c>
    </row>
    <row r="24" spans="1:9" s="25" customFormat="1" ht="23.25" thickBot="1">
      <c r="A24" s="57" t="s">
        <v>163</v>
      </c>
      <c r="B24" s="58" t="s">
        <v>164</v>
      </c>
      <c r="C24" s="92">
        <v>8</v>
      </c>
      <c r="D24" s="58" t="s">
        <v>28</v>
      </c>
      <c r="E24" s="75" t="s">
        <v>137</v>
      </c>
      <c r="F24" s="55" t="s">
        <v>129</v>
      </c>
      <c r="G24" s="21" t="s">
        <v>20</v>
      </c>
      <c r="H24" s="15" t="s">
        <v>225</v>
      </c>
      <c r="I24" s="21" t="s">
        <v>228</v>
      </c>
    </row>
    <row r="25" spans="1:9" s="25" customFormat="1" ht="23.25" thickBot="1">
      <c r="A25" s="57" t="s">
        <v>165</v>
      </c>
      <c r="B25" s="58" t="s">
        <v>166</v>
      </c>
      <c r="C25" s="92">
        <v>7.5</v>
      </c>
      <c r="D25" s="58" t="s">
        <v>47</v>
      </c>
      <c r="E25" s="75" t="s">
        <v>137</v>
      </c>
      <c r="F25" s="55" t="s">
        <v>129</v>
      </c>
      <c r="G25" s="21" t="s">
        <v>20</v>
      </c>
      <c r="H25" s="15" t="s">
        <v>225</v>
      </c>
      <c r="I25" s="21" t="s">
        <v>228</v>
      </c>
    </row>
    <row r="26" spans="1:9" s="25" customFormat="1" ht="34.5" thickBot="1">
      <c r="A26" s="57" t="s">
        <v>167</v>
      </c>
      <c r="B26" s="58" t="s">
        <v>168</v>
      </c>
      <c r="C26" s="92">
        <v>0.25919999999999999</v>
      </c>
      <c r="D26" s="58" t="s">
        <v>39</v>
      </c>
      <c r="E26" s="75" t="s">
        <v>40</v>
      </c>
      <c r="F26" s="55" t="s">
        <v>129</v>
      </c>
      <c r="G26" s="21" t="s">
        <v>20</v>
      </c>
      <c r="H26" s="15" t="s">
        <v>40</v>
      </c>
      <c r="I26" s="21" t="s">
        <v>228</v>
      </c>
    </row>
    <row r="27" spans="1:9" s="25" customFormat="1" ht="45.75" thickBot="1">
      <c r="A27" s="57" t="s">
        <v>169</v>
      </c>
      <c r="B27" s="58" t="s">
        <v>130</v>
      </c>
      <c r="C27" s="92">
        <v>0.48</v>
      </c>
      <c r="D27" s="58" t="s">
        <v>590</v>
      </c>
      <c r="E27" s="75" t="s">
        <v>131</v>
      </c>
      <c r="F27" s="55" t="s">
        <v>129</v>
      </c>
      <c r="G27" s="21" t="s">
        <v>20</v>
      </c>
      <c r="H27" s="15" t="s">
        <v>225</v>
      </c>
      <c r="I27" s="21" t="s">
        <v>228</v>
      </c>
    </row>
    <row r="28" spans="1:9" s="25" customFormat="1" ht="34.5" thickBot="1">
      <c r="A28" s="57" t="s">
        <v>170</v>
      </c>
      <c r="B28" s="58" t="s">
        <v>30</v>
      </c>
      <c r="C28" s="92">
        <v>12.56</v>
      </c>
      <c r="D28" s="58" t="s">
        <v>8</v>
      </c>
      <c r="E28" s="75" t="s">
        <v>132</v>
      </c>
      <c r="F28" s="55" t="s">
        <v>129</v>
      </c>
      <c r="G28" s="21" t="s">
        <v>20</v>
      </c>
      <c r="H28" s="15" t="s">
        <v>224</v>
      </c>
      <c r="I28" s="21" t="s">
        <v>228</v>
      </c>
    </row>
    <row r="29" spans="1:9" s="25" customFormat="1" ht="45.75" thickBot="1">
      <c r="A29" s="57" t="s">
        <v>171</v>
      </c>
      <c r="B29" s="58" t="s">
        <v>152</v>
      </c>
      <c r="C29" s="92">
        <v>63.8</v>
      </c>
      <c r="D29" s="58" t="s">
        <v>590</v>
      </c>
      <c r="E29" s="75" t="s">
        <v>132</v>
      </c>
      <c r="F29" s="55" t="s">
        <v>129</v>
      </c>
      <c r="G29" s="21" t="s">
        <v>20</v>
      </c>
      <c r="H29" s="15" t="s">
        <v>224</v>
      </c>
      <c r="I29" s="21" t="s">
        <v>228</v>
      </c>
    </row>
    <row r="30" spans="1:9" s="25" customFormat="1" ht="34.5" thickBot="1">
      <c r="A30" s="57" t="s">
        <v>541</v>
      </c>
      <c r="B30" s="58" t="s">
        <v>216</v>
      </c>
      <c r="C30" s="92">
        <v>0.21379999999999999</v>
      </c>
      <c r="D30" s="58" t="s">
        <v>310</v>
      </c>
      <c r="E30" s="75" t="s">
        <v>40</v>
      </c>
      <c r="F30" s="55" t="s">
        <v>129</v>
      </c>
      <c r="G30" s="21" t="s">
        <v>20</v>
      </c>
      <c r="H30" s="15" t="s">
        <v>40</v>
      </c>
      <c r="I30" s="21" t="s">
        <v>228</v>
      </c>
    </row>
    <row r="31" spans="1:9" s="25" customFormat="1" ht="34.5" thickBot="1">
      <c r="A31" s="57" t="s">
        <v>542</v>
      </c>
      <c r="B31" s="58" t="s">
        <v>216</v>
      </c>
      <c r="C31" s="92">
        <v>0.29949999999999999</v>
      </c>
      <c r="D31" s="58" t="s">
        <v>310</v>
      </c>
      <c r="E31" s="75" t="s">
        <v>40</v>
      </c>
      <c r="F31" s="55" t="s">
        <v>129</v>
      </c>
      <c r="G31" s="21" t="s">
        <v>20</v>
      </c>
      <c r="H31" s="15" t="s">
        <v>40</v>
      </c>
      <c r="I31" s="21" t="s">
        <v>228</v>
      </c>
    </row>
    <row r="32" spans="1:9" s="25" customFormat="1" ht="23.25" thickBot="1">
      <c r="A32" s="57" t="s">
        <v>172</v>
      </c>
      <c r="B32" s="58" t="s">
        <v>172</v>
      </c>
      <c r="C32" s="92">
        <v>21</v>
      </c>
      <c r="D32" s="58" t="s">
        <v>28</v>
      </c>
      <c r="E32" s="75" t="s">
        <v>137</v>
      </c>
      <c r="F32" s="55" t="s">
        <v>129</v>
      </c>
      <c r="G32" s="21" t="s">
        <v>20</v>
      </c>
      <c r="H32" s="15" t="s">
        <v>225</v>
      </c>
      <c r="I32" s="21" t="s">
        <v>228</v>
      </c>
    </row>
    <row r="33" spans="1:9" s="25" customFormat="1" ht="23.25" thickBot="1">
      <c r="A33" s="57" t="s">
        <v>173</v>
      </c>
      <c r="B33" s="58" t="s">
        <v>166</v>
      </c>
      <c r="C33" s="92">
        <v>9</v>
      </c>
      <c r="D33" s="58" t="s">
        <v>47</v>
      </c>
      <c r="E33" s="75" t="s">
        <v>137</v>
      </c>
      <c r="F33" s="55" t="s">
        <v>129</v>
      </c>
      <c r="G33" s="21" t="s">
        <v>20</v>
      </c>
      <c r="H33" s="15" t="s">
        <v>225</v>
      </c>
      <c r="I33" s="21" t="s">
        <v>228</v>
      </c>
    </row>
    <row r="34" spans="1:9" s="25" customFormat="1" ht="23.25" thickBot="1">
      <c r="A34" s="57" t="s">
        <v>543</v>
      </c>
      <c r="B34" s="58" t="s">
        <v>216</v>
      </c>
      <c r="C34" s="92">
        <v>4.96</v>
      </c>
      <c r="D34" s="58" t="s">
        <v>544</v>
      </c>
      <c r="E34" s="75" t="s">
        <v>40</v>
      </c>
      <c r="F34" s="55" t="s">
        <v>129</v>
      </c>
      <c r="G34" s="21" t="s">
        <v>20</v>
      </c>
      <c r="H34" s="15" t="s">
        <v>40</v>
      </c>
      <c r="I34" s="21" t="s">
        <v>228</v>
      </c>
    </row>
    <row r="35" spans="1:9" s="25" customFormat="1" ht="45.75" thickBot="1">
      <c r="A35" s="57" t="s">
        <v>174</v>
      </c>
      <c r="B35" s="58" t="s">
        <v>150</v>
      </c>
      <c r="C35" s="92">
        <v>21</v>
      </c>
      <c r="D35" s="58" t="s">
        <v>590</v>
      </c>
      <c r="E35" s="75" t="s">
        <v>132</v>
      </c>
      <c r="F35" s="55" t="s">
        <v>129</v>
      </c>
      <c r="G35" s="21" t="s">
        <v>20</v>
      </c>
      <c r="H35" s="15" t="s">
        <v>224</v>
      </c>
      <c r="I35" s="21" t="s">
        <v>228</v>
      </c>
    </row>
    <row r="36" spans="1:9" s="25" customFormat="1" ht="45.75" thickBot="1">
      <c r="A36" s="57" t="s">
        <v>175</v>
      </c>
      <c r="B36" s="58" t="s">
        <v>176</v>
      </c>
      <c r="C36" s="92">
        <v>15</v>
      </c>
      <c r="D36" s="58" t="s">
        <v>590</v>
      </c>
      <c r="E36" s="75" t="s">
        <v>132</v>
      </c>
      <c r="F36" s="55" t="s">
        <v>129</v>
      </c>
      <c r="G36" s="21" t="s">
        <v>20</v>
      </c>
      <c r="H36" s="15" t="s">
        <v>224</v>
      </c>
      <c r="I36" s="21" t="s">
        <v>228</v>
      </c>
    </row>
    <row r="37" spans="1:9" s="25" customFormat="1" ht="34.5" thickBot="1">
      <c r="A37" s="57" t="s">
        <v>177</v>
      </c>
      <c r="B37" s="58" t="s">
        <v>154</v>
      </c>
      <c r="C37" s="92">
        <v>67.8</v>
      </c>
      <c r="D37" s="58" t="s">
        <v>28</v>
      </c>
      <c r="E37" s="75" t="s">
        <v>137</v>
      </c>
      <c r="F37" s="55" t="s">
        <v>129</v>
      </c>
      <c r="G37" s="21" t="s">
        <v>20</v>
      </c>
      <c r="H37" s="15" t="s">
        <v>225</v>
      </c>
      <c r="I37" s="21" t="s">
        <v>228</v>
      </c>
    </row>
    <row r="38" spans="1:9" s="25" customFormat="1" ht="34.5" thickBot="1">
      <c r="A38" s="57" t="s">
        <v>178</v>
      </c>
      <c r="B38" s="58" t="s">
        <v>179</v>
      </c>
      <c r="C38" s="92">
        <v>14</v>
      </c>
      <c r="D38" s="58" t="s">
        <v>28</v>
      </c>
      <c r="E38" s="75" t="s">
        <v>137</v>
      </c>
      <c r="F38" s="55" t="s">
        <v>129</v>
      </c>
      <c r="G38" s="21" t="s">
        <v>20</v>
      </c>
      <c r="H38" s="15" t="s">
        <v>225</v>
      </c>
      <c r="I38" s="21" t="s">
        <v>228</v>
      </c>
    </row>
    <row r="39" spans="1:9" s="25" customFormat="1" ht="34.5" thickBot="1">
      <c r="A39" s="57" t="s">
        <v>180</v>
      </c>
      <c r="B39" s="58" t="s">
        <v>181</v>
      </c>
      <c r="C39" s="92">
        <v>17</v>
      </c>
      <c r="D39" s="58" t="s">
        <v>28</v>
      </c>
      <c r="E39" s="75" t="s">
        <v>137</v>
      </c>
      <c r="F39" s="55" t="s">
        <v>129</v>
      </c>
      <c r="G39" s="21" t="s">
        <v>20</v>
      </c>
      <c r="H39" s="15" t="s">
        <v>225</v>
      </c>
      <c r="I39" s="21" t="s">
        <v>228</v>
      </c>
    </row>
    <row r="40" spans="1:9" s="25" customFormat="1" ht="23.25" thickBot="1">
      <c r="A40" s="57" t="s">
        <v>182</v>
      </c>
      <c r="B40" s="58" t="s">
        <v>183</v>
      </c>
      <c r="C40" s="92">
        <v>48</v>
      </c>
      <c r="D40" s="58" t="s">
        <v>28</v>
      </c>
      <c r="E40" s="75" t="s">
        <v>137</v>
      </c>
      <c r="F40" s="55" t="s">
        <v>129</v>
      </c>
      <c r="G40" s="21" t="s">
        <v>20</v>
      </c>
      <c r="H40" s="15" t="s">
        <v>225</v>
      </c>
      <c r="I40" s="21" t="s">
        <v>228</v>
      </c>
    </row>
    <row r="41" spans="1:9" s="25" customFormat="1" ht="79.5" thickBot="1">
      <c r="A41" s="57" t="s">
        <v>184</v>
      </c>
      <c r="B41" s="58" t="s">
        <v>185</v>
      </c>
      <c r="C41" s="92">
        <v>30</v>
      </c>
      <c r="D41" s="58" t="s">
        <v>28</v>
      </c>
      <c r="E41" s="75" t="s">
        <v>186</v>
      </c>
      <c r="F41" s="55" t="s">
        <v>129</v>
      </c>
      <c r="G41" s="21" t="s">
        <v>20</v>
      </c>
      <c r="H41" s="15" t="s">
        <v>225</v>
      </c>
      <c r="I41" s="21" t="s">
        <v>228</v>
      </c>
    </row>
    <row r="42" spans="1:9" s="25" customFormat="1" ht="45.75" thickBot="1">
      <c r="A42" s="57" t="s">
        <v>187</v>
      </c>
      <c r="B42" s="58" t="s">
        <v>130</v>
      </c>
      <c r="C42" s="92">
        <v>4.492</v>
      </c>
      <c r="D42" s="58" t="s">
        <v>590</v>
      </c>
      <c r="E42" s="75" t="s">
        <v>131</v>
      </c>
      <c r="F42" s="55" t="s">
        <v>129</v>
      </c>
      <c r="G42" s="21" t="s">
        <v>20</v>
      </c>
      <c r="H42" s="15" t="s">
        <v>225</v>
      </c>
      <c r="I42" s="21" t="s">
        <v>228</v>
      </c>
    </row>
    <row r="43" spans="1:9" s="25" customFormat="1" ht="45.75" thickBot="1">
      <c r="A43" s="57" t="s">
        <v>188</v>
      </c>
      <c r="B43" s="58" t="s">
        <v>139</v>
      </c>
      <c r="C43" s="92">
        <v>1.1499999999999999</v>
      </c>
      <c r="D43" s="58" t="s">
        <v>590</v>
      </c>
      <c r="E43" s="75" t="s">
        <v>131</v>
      </c>
      <c r="F43" s="55" t="s">
        <v>129</v>
      </c>
      <c r="G43" s="21" t="s">
        <v>20</v>
      </c>
      <c r="H43" s="15" t="s">
        <v>225</v>
      </c>
      <c r="I43" s="21" t="s">
        <v>228</v>
      </c>
    </row>
    <row r="44" spans="1:9" s="25" customFormat="1" ht="57" thickBot="1">
      <c r="A44" s="57" t="s">
        <v>545</v>
      </c>
      <c r="B44" s="58" t="s">
        <v>216</v>
      </c>
      <c r="C44" s="92">
        <v>0.15</v>
      </c>
      <c r="D44" s="58" t="s">
        <v>310</v>
      </c>
      <c r="E44" s="75" t="s">
        <v>40</v>
      </c>
      <c r="F44" s="55" t="s">
        <v>129</v>
      </c>
      <c r="G44" s="21" t="s">
        <v>20</v>
      </c>
      <c r="H44" s="15" t="s">
        <v>40</v>
      </c>
      <c r="I44" s="21" t="s">
        <v>228</v>
      </c>
    </row>
    <row r="45" spans="1:9" s="25" customFormat="1" ht="23.25" thickBot="1">
      <c r="A45" s="57" t="s">
        <v>593</v>
      </c>
      <c r="B45" s="58" t="s">
        <v>364</v>
      </c>
      <c r="C45" s="92">
        <v>3.2</v>
      </c>
      <c r="D45" s="58" t="s">
        <v>310</v>
      </c>
      <c r="E45" s="75" t="s">
        <v>40</v>
      </c>
      <c r="F45" s="55" t="s">
        <v>129</v>
      </c>
      <c r="G45" s="21" t="s">
        <v>20</v>
      </c>
      <c r="H45" s="15" t="s">
        <v>40</v>
      </c>
      <c r="I45" s="21" t="s">
        <v>228</v>
      </c>
    </row>
    <row r="46" spans="1:9" s="25" customFormat="1" ht="34.5" thickBot="1">
      <c r="A46" s="57" t="s">
        <v>189</v>
      </c>
      <c r="B46" s="58" t="s">
        <v>166</v>
      </c>
      <c r="C46" s="92">
        <v>19.3</v>
      </c>
      <c r="D46" s="58" t="s">
        <v>28</v>
      </c>
      <c r="E46" s="75" t="s">
        <v>137</v>
      </c>
      <c r="F46" s="55" t="s">
        <v>129</v>
      </c>
      <c r="G46" s="21" t="s">
        <v>20</v>
      </c>
      <c r="H46" s="15" t="s">
        <v>225</v>
      </c>
      <c r="I46" s="21" t="s">
        <v>228</v>
      </c>
    </row>
    <row r="47" spans="1:9" s="25" customFormat="1" ht="45.75" thickBot="1">
      <c r="A47" s="57" t="s">
        <v>190</v>
      </c>
      <c r="B47" s="58" t="s">
        <v>191</v>
      </c>
      <c r="C47" s="92">
        <v>1</v>
      </c>
      <c r="D47" s="58" t="s">
        <v>8</v>
      </c>
      <c r="E47" s="75" t="s">
        <v>9</v>
      </c>
      <c r="F47" s="55" t="s">
        <v>129</v>
      </c>
      <c r="G47" s="21" t="s">
        <v>20</v>
      </c>
      <c r="H47" s="15" t="s">
        <v>226</v>
      </c>
      <c r="I47" s="21" t="s">
        <v>228</v>
      </c>
    </row>
    <row r="48" spans="1:9" s="25" customFormat="1" ht="34.5" thickBot="1">
      <c r="A48" s="57" t="s">
        <v>546</v>
      </c>
      <c r="B48" s="58" t="s">
        <v>216</v>
      </c>
      <c r="C48" s="92">
        <v>0.17380000000000001</v>
      </c>
      <c r="D48" s="58" t="s">
        <v>310</v>
      </c>
      <c r="E48" s="75" t="s">
        <v>40</v>
      </c>
      <c r="F48" s="55" t="s">
        <v>129</v>
      </c>
      <c r="G48" s="21" t="s">
        <v>20</v>
      </c>
      <c r="H48" s="15" t="s">
        <v>40</v>
      </c>
      <c r="I48" s="21" t="s">
        <v>228</v>
      </c>
    </row>
    <row r="49" spans="1:9" s="25" customFormat="1" ht="45.75" thickBot="1">
      <c r="A49" s="57" t="s">
        <v>192</v>
      </c>
      <c r="B49" s="58" t="s">
        <v>130</v>
      </c>
      <c r="C49" s="92">
        <v>2.1</v>
      </c>
      <c r="D49" s="58" t="s">
        <v>590</v>
      </c>
      <c r="E49" s="75" t="s">
        <v>131</v>
      </c>
      <c r="F49" s="55" t="s">
        <v>129</v>
      </c>
      <c r="G49" s="21" t="s">
        <v>20</v>
      </c>
      <c r="H49" s="15" t="s">
        <v>225</v>
      </c>
      <c r="I49" s="21" t="s">
        <v>228</v>
      </c>
    </row>
    <row r="50" spans="1:9" s="25" customFormat="1" ht="34.5" thickBot="1">
      <c r="A50" s="57" t="s">
        <v>195</v>
      </c>
      <c r="B50" s="58" t="s">
        <v>30</v>
      </c>
      <c r="C50" s="92">
        <v>0</v>
      </c>
      <c r="D50" s="58" t="s">
        <v>28</v>
      </c>
      <c r="E50" s="75" t="s">
        <v>196</v>
      </c>
      <c r="F50" s="55" t="s">
        <v>129</v>
      </c>
      <c r="G50" s="21" t="s">
        <v>20</v>
      </c>
      <c r="H50" s="15" t="s">
        <v>225</v>
      </c>
      <c r="I50" s="21" t="s">
        <v>228</v>
      </c>
    </row>
    <row r="51" spans="1:9" s="25" customFormat="1" ht="45.75" thickBot="1">
      <c r="A51" s="57" t="s">
        <v>197</v>
      </c>
      <c r="B51" s="58" t="s">
        <v>198</v>
      </c>
      <c r="C51" s="92">
        <v>15</v>
      </c>
      <c r="D51" s="58" t="s">
        <v>39</v>
      </c>
      <c r="E51" s="75" t="s">
        <v>40</v>
      </c>
      <c r="F51" s="55" t="s">
        <v>129</v>
      </c>
      <c r="G51" s="21" t="s">
        <v>20</v>
      </c>
      <c r="H51" s="15" t="s">
        <v>40</v>
      </c>
      <c r="I51" s="21" t="s">
        <v>228</v>
      </c>
    </row>
    <row r="52" spans="1:9" s="25" customFormat="1" ht="45.75" thickBot="1">
      <c r="A52" s="57" t="s">
        <v>199</v>
      </c>
      <c r="B52" s="58" t="s">
        <v>130</v>
      </c>
      <c r="C52" s="92">
        <v>1.7949999999999999</v>
      </c>
      <c r="D52" s="58" t="s">
        <v>590</v>
      </c>
      <c r="E52" s="75" t="s">
        <v>131</v>
      </c>
      <c r="F52" s="55" t="s">
        <v>129</v>
      </c>
      <c r="G52" s="21" t="s">
        <v>20</v>
      </c>
      <c r="H52" s="15" t="s">
        <v>225</v>
      </c>
      <c r="I52" s="21" t="s">
        <v>228</v>
      </c>
    </row>
    <row r="53" spans="1:9" s="25" customFormat="1" ht="45.75" thickBot="1">
      <c r="A53" s="57" t="s">
        <v>200</v>
      </c>
      <c r="B53" s="58" t="s">
        <v>133</v>
      </c>
      <c r="C53" s="92">
        <v>1.4870000000000001</v>
      </c>
      <c r="D53" s="58" t="s">
        <v>590</v>
      </c>
      <c r="E53" s="75" t="s">
        <v>131</v>
      </c>
      <c r="F53" s="55" t="s">
        <v>129</v>
      </c>
      <c r="G53" s="21" t="s">
        <v>20</v>
      </c>
      <c r="H53" s="15" t="s">
        <v>225</v>
      </c>
      <c r="I53" s="21" t="s">
        <v>228</v>
      </c>
    </row>
    <row r="54" spans="1:9" s="25" customFormat="1" ht="23.25" thickBot="1">
      <c r="A54" s="57" t="s">
        <v>201</v>
      </c>
      <c r="B54" s="58" t="s">
        <v>166</v>
      </c>
      <c r="C54" s="92">
        <v>7</v>
      </c>
      <c r="D54" s="58" t="s">
        <v>47</v>
      </c>
      <c r="E54" s="75" t="s">
        <v>137</v>
      </c>
      <c r="F54" s="55" t="s">
        <v>129</v>
      </c>
      <c r="G54" s="21" t="s">
        <v>20</v>
      </c>
      <c r="H54" s="15" t="s">
        <v>225</v>
      </c>
      <c r="I54" s="21" t="s">
        <v>228</v>
      </c>
    </row>
    <row r="55" spans="1:9" s="25" customFormat="1" ht="34.5" thickBot="1">
      <c r="A55" s="57" t="s">
        <v>202</v>
      </c>
      <c r="B55" s="58" t="s">
        <v>22</v>
      </c>
      <c r="C55" s="92">
        <v>15</v>
      </c>
      <c r="D55" s="58" t="s">
        <v>15</v>
      </c>
      <c r="E55" s="75" t="s">
        <v>203</v>
      </c>
      <c r="F55" s="55" t="s">
        <v>129</v>
      </c>
      <c r="G55" s="21" t="s">
        <v>20</v>
      </c>
      <c r="H55" s="15" t="s">
        <v>15</v>
      </c>
      <c r="I55" s="21" t="s">
        <v>228</v>
      </c>
    </row>
    <row r="56" spans="1:9" s="25" customFormat="1" ht="34.5" thickBot="1">
      <c r="A56" s="57" t="s">
        <v>204</v>
      </c>
      <c r="B56" s="58" t="s">
        <v>204</v>
      </c>
      <c r="C56" s="92">
        <v>3.3</v>
      </c>
      <c r="D56" s="58" t="s">
        <v>8</v>
      </c>
      <c r="E56" s="75" t="s">
        <v>131</v>
      </c>
      <c r="F56" s="55" t="s">
        <v>129</v>
      </c>
      <c r="G56" s="21" t="s">
        <v>20</v>
      </c>
      <c r="H56" s="15" t="s">
        <v>225</v>
      </c>
      <c r="I56" s="21" t="s">
        <v>228</v>
      </c>
    </row>
    <row r="57" spans="1:9" s="25" customFormat="1" ht="23.25" thickBot="1">
      <c r="A57" s="57" t="s">
        <v>547</v>
      </c>
      <c r="B57" s="58" t="s">
        <v>216</v>
      </c>
      <c r="C57" s="92">
        <v>0.95409999999999995</v>
      </c>
      <c r="D57" s="58" t="s">
        <v>310</v>
      </c>
      <c r="E57" s="75" t="s">
        <v>40</v>
      </c>
      <c r="F57" s="55" t="s">
        <v>129</v>
      </c>
      <c r="G57" s="21" t="s">
        <v>20</v>
      </c>
      <c r="H57" s="15" t="s">
        <v>40</v>
      </c>
      <c r="I57" s="21" t="s">
        <v>228</v>
      </c>
    </row>
    <row r="58" spans="1:9" s="25" customFormat="1" ht="45.75" thickBot="1">
      <c r="A58" s="57" t="s">
        <v>548</v>
      </c>
      <c r="B58" s="58" t="s">
        <v>216</v>
      </c>
      <c r="C58" s="92">
        <v>0.39319999999999999</v>
      </c>
      <c r="D58" s="58" t="s">
        <v>310</v>
      </c>
      <c r="E58" s="75" t="s">
        <v>40</v>
      </c>
      <c r="F58" s="55" t="s">
        <v>129</v>
      </c>
      <c r="G58" s="21" t="s">
        <v>20</v>
      </c>
      <c r="H58" s="15" t="s">
        <v>40</v>
      </c>
      <c r="I58" s="21" t="s">
        <v>228</v>
      </c>
    </row>
    <row r="59" spans="1:9" s="25" customFormat="1" ht="34.5" thickBot="1">
      <c r="A59" s="57" t="s">
        <v>549</v>
      </c>
      <c r="B59" s="58" t="s">
        <v>216</v>
      </c>
      <c r="C59" s="92">
        <v>0.17460000000000001</v>
      </c>
      <c r="D59" s="58" t="s">
        <v>310</v>
      </c>
      <c r="E59" s="75" t="s">
        <v>40</v>
      </c>
      <c r="F59" s="55" t="s">
        <v>129</v>
      </c>
      <c r="G59" s="21" t="s">
        <v>20</v>
      </c>
      <c r="H59" s="15" t="s">
        <v>40</v>
      </c>
      <c r="I59" s="21" t="s">
        <v>228</v>
      </c>
    </row>
    <row r="60" spans="1:9" s="25" customFormat="1" ht="34.5" thickBot="1">
      <c r="A60" s="57" t="s">
        <v>550</v>
      </c>
      <c r="B60" s="58" t="s">
        <v>216</v>
      </c>
      <c r="C60" s="92">
        <v>0.17050000000000001</v>
      </c>
      <c r="D60" s="58" t="s">
        <v>310</v>
      </c>
      <c r="E60" s="75" t="s">
        <v>40</v>
      </c>
      <c r="F60" s="55" t="s">
        <v>129</v>
      </c>
      <c r="G60" s="21" t="s">
        <v>20</v>
      </c>
      <c r="H60" s="15" t="s">
        <v>40</v>
      </c>
      <c r="I60" s="21" t="s">
        <v>228</v>
      </c>
    </row>
    <row r="61" spans="1:9" s="25" customFormat="1" ht="34.5" thickBot="1">
      <c r="A61" s="57" t="s">
        <v>551</v>
      </c>
      <c r="B61" s="58" t="s">
        <v>216</v>
      </c>
      <c r="C61" s="92">
        <v>0.2601</v>
      </c>
      <c r="D61" s="58" t="s">
        <v>310</v>
      </c>
      <c r="E61" s="75" t="s">
        <v>40</v>
      </c>
      <c r="F61" s="55" t="s">
        <v>129</v>
      </c>
      <c r="G61" s="21" t="s">
        <v>20</v>
      </c>
      <c r="H61" s="15" t="s">
        <v>40</v>
      </c>
      <c r="I61" s="21" t="s">
        <v>228</v>
      </c>
    </row>
    <row r="62" spans="1:9" s="25" customFormat="1" ht="23.25" thickBot="1">
      <c r="A62" s="57" t="s">
        <v>552</v>
      </c>
      <c r="B62" s="58" t="s">
        <v>216</v>
      </c>
      <c r="C62" s="92">
        <v>0.26369999999999999</v>
      </c>
      <c r="D62" s="58" t="s">
        <v>310</v>
      </c>
      <c r="E62" s="75" t="s">
        <v>40</v>
      </c>
      <c r="F62" s="55" t="s">
        <v>129</v>
      </c>
      <c r="G62" s="21" t="s">
        <v>20</v>
      </c>
      <c r="H62" s="15" t="s">
        <v>40</v>
      </c>
      <c r="I62" s="21" t="s">
        <v>228</v>
      </c>
    </row>
    <row r="63" spans="1:9" s="25" customFormat="1" ht="34.5" thickBot="1">
      <c r="A63" s="57" t="s">
        <v>553</v>
      </c>
      <c r="B63" s="58" t="s">
        <v>216</v>
      </c>
      <c r="C63" s="92">
        <v>1.228</v>
      </c>
      <c r="D63" s="58" t="s">
        <v>216</v>
      </c>
      <c r="E63" s="75" t="s">
        <v>137</v>
      </c>
      <c r="F63" s="55" t="s">
        <v>129</v>
      </c>
      <c r="G63" s="21" t="s">
        <v>20</v>
      </c>
      <c r="H63" s="15" t="s">
        <v>225</v>
      </c>
      <c r="I63" s="21" t="s">
        <v>228</v>
      </c>
    </row>
    <row r="64" spans="1:9" s="25" customFormat="1" ht="45.75" thickBot="1">
      <c r="A64" s="57" t="s">
        <v>554</v>
      </c>
      <c r="B64" s="58" t="s">
        <v>216</v>
      </c>
      <c r="C64" s="92">
        <v>1.0900000000000001</v>
      </c>
      <c r="D64" s="58" t="s">
        <v>310</v>
      </c>
      <c r="E64" s="75" t="s">
        <v>40</v>
      </c>
      <c r="F64" s="55" t="s">
        <v>129</v>
      </c>
      <c r="G64" s="21" t="s">
        <v>20</v>
      </c>
      <c r="H64" s="15" t="s">
        <v>40</v>
      </c>
      <c r="I64" s="21" t="s">
        <v>228</v>
      </c>
    </row>
    <row r="65" spans="1:9" s="25" customFormat="1" ht="23.25" thickBot="1">
      <c r="A65" s="57" t="s">
        <v>205</v>
      </c>
      <c r="B65" s="58" t="s">
        <v>206</v>
      </c>
      <c r="C65" s="92">
        <v>24</v>
      </c>
      <c r="D65" s="58" t="s">
        <v>28</v>
      </c>
      <c r="E65" s="75" t="s">
        <v>137</v>
      </c>
      <c r="F65" s="55" t="s">
        <v>129</v>
      </c>
      <c r="G65" s="21" t="s">
        <v>20</v>
      </c>
      <c r="H65" s="15" t="s">
        <v>225</v>
      </c>
      <c r="I65" s="21" t="s">
        <v>228</v>
      </c>
    </row>
    <row r="66" spans="1:9" s="25" customFormat="1" ht="23.25" thickBot="1">
      <c r="A66" s="57" t="s">
        <v>555</v>
      </c>
      <c r="B66" s="58" t="s">
        <v>216</v>
      </c>
      <c r="C66" s="92">
        <v>0.1966</v>
      </c>
      <c r="D66" s="58" t="s">
        <v>310</v>
      </c>
      <c r="E66" s="75" t="s">
        <v>40</v>
      </c>
      <c r="F66" s="55" t="s">
        <v>129</v>
      </c>
      <c r="G66" s="21" t="s">
        <v>20</v>
      </c>
      <c r="H66" s="15" t="s">
        <v>40</v>
      </c>
      <c r="I66" s="21" t="s">
        <v>228</v>
      </c>
    </row>
    <row r="67" spans="1:9" s="25" customFormat="1" ht="45.75" thickBot="1">
      <c r="A67" s="57" t="s">
        <v>207</v>
      </c>
      <c r="B67" s="58" t="s">
        <v>130</v>
      </c>
      <c r="C67" s="92">
        <v>0.78900000000000003</v>
      </c>
      <c r="D67" s="58" t="s">
        <v>590</v>
      </c>
      <c r="E67" s="75" t="s">
        <v>131</v>
      </c>
      <c r="F67" s="55" t="s">
        <v>129</v>
      </c>
      <c r="G67" s="21" t="s">
        <v>20</v>
      </c>
      <c r="H67" s="15" t="s">
        <v>225</v>
      </c>
      <c r="I67" s="21" t="s">
        <v>228</v>
      </c>
    </row>
    <row r="68" spans="1:9" s="25" customFormat="1" ht="23.25" thickBot="1">
      <c r="A68" s="57" t="s">
        <v>208</v>
      </c>
      <c r="B68" s="58" t="s">
        <v>92</v>
      </c>
      <c r="C68" s="92">
        <v>12</v>
      </c>
      <c r="D68" s="58" t="s">
        <v>12</v>
      </c>
      <c r="E68" s="75" t="s">
        <v>13</v>
      </c>
      <c r="F68" s="55" t="s">
        <v>129</v>
      </c>
      <c r="G68" s="21" t="s">
        <v>20</v>
      </c>
      <c r="H68" s="15" t="s">
        <v>13</v>
      </c>
      <c r="I68" s="21" t="s">
        <v>228</v>
      </c>
    </row>
    <row r="69" spans="1:9" s="25" customFormat="1" ht="34.5" thickBot="1">
      <c r="A69" s="57" t="s">
        <v>209</v>
      </c>
      <c r="B69" s="58" t="s">
        <v>22</v>
      </c>
      <c r="C69" s="92">
        <v>4.5</v>
      </c>
      <c r="D69" s="58" t="s">
        <v>26</v>
      </c>
      <c r="E69" s="75" t="s">
        <v>25</v>
      </c>
      <c r="F69" s="55" t="s">
        <v>129</v>
      </c>
      <c r="G69" s="21" t="s">
        <v>20</v>
      </c>
      <c r="H69" s="15" t="s">
        <v>25</v>
      </c>
      <c r="I69" s="21" t="s">
        <v>228</v>
      </c>
    </row>
    <row r="70" spans="1:9" s="25" customFormat="1" ht="23.25" thickBot="1">
      <c r="A70" s="57" t="s">
        <v>556</v>
      </c>
      <c r="B70" s="58" t="s">
        <v>216</v>
      </c>
      <c r="C70" s="92">
        <v>0.29559999999999997</v>
      </c>
      <c r="D70" s="58" t="s">
        <v>310</v>
      </c>
      <c r="E70" s="75" t="s">
        <v>40</v>
      </c>
      <c r="F70" s="55" t="s">
        <v>129</v>
      </c>
      <c r="G70" s="21" t="s">
        <v>20</v>
      </c>
      <c r="H70" s="15" t="s">
        <v>40</v>
      </c>
      <c r="I70" s="21" t="s">
        <v>228</v>
      </c>
    </row>
    <row r="71" spans="1:9" s="25" customFormat="1" ht="23.25" thickBot="1">
      <c r="A71" s="57" t="s">
        <v>210</v>
      </c>
      <c r="B71" s="58" t="s">
        <v>211</v>
      </c>
      <c r="C71" s="92">
        <v>180</v>
      </c>
      <c r="D71" s="58" t="s">
        <v>55</v>
      </c>
      <c r="E71" s="75" t="s">
        <v>16</v>
      </c>
      <c r="F71" s="55" t="s">
        <v>129</v>
      </c>
      <c r="G71" s="21" t="s">
        <v>20</v>
      </c>
      <c r="H71" s="15" t="s">
        <v>55</v>
      </c>
      <c r="I71" s="21" t="s">
        <v>228</v>
      </c>
    </row>
    <row r="72" spans="1:9" ht="15.75" thickBot="1"/>
    <row r="73" spans="1:9" ht="15.75" thickBot="1">
      <c r="A73" s="51" t="s">
        <v>95</v>
      </c>
      <c r="B73" s="93"/>
      <c r="C73" s="95">
        <f>SUM(existingnstable[Nameplate Capacity (MW)])</f>
        <v>942.28649999999982</v>
      </c>
      <c r="D73" s="93"/>
      <c r="E73" s="94"/>
      <c r="F73" s="9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9"/>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35.85546875" style="25" bestFit="1" customWidth="1"/>
    <col min="2" max="2" width="48.5703125" style="25" bestFit="1" customWidth="1"/>
    <col min="3" max="3" width="28.140625" style="25" bestFit="1" customWidth="1"/>
    <col min="4" max="4" width="26" style="25" bestFit="1" customWidth="1"/>
    <col min="5" max="5" width="15.140625" style="25" bestFit="1" customWidth="1"/>
    <col min="6" max="6" width="14.7109375" style="25" bestFit="1" customWidth="1"/>
    <col min="7" max="7" width="21" style="25" bestFit="1" customWidth="1"/>
    <col min="8" max="8" width="12" style="25" bestFit="1" customWidth="1"/>
    <col min="9" max="9" width="21.42578125" style="25" bestFit="1" customWidth="1"/>
    <col min="10" max="10" width="81.140625" style="25" bestFit="1" customWidth="1"/>
    <col min="11" max="11" width="14.5703125" style="25" hidden="1" customWidth="1"/>
    <col min="12" max="12" width="24" style="25" hidden="1" customWidth="1"/>
    <col min="13" max="13" width="13.28515625" style="25" hidden="1" customWidth="1"/>
    <col min="14" max="14" width="6.140625" style="25" hidden="1" customWidth="1"/>
    <col min="15" max="15" width="15" style="70" hidden="1" customWidth="1"/>
    <col min="16" max="16384" width="9.140625" style="25"/>
  </cols>
  <sheetData>
    <row r="1" spans="1:15" ht="20.25" thickBot="1">
      <c r="A1" s="29" t="s">
        <v>212</v>
      </c>
    </row>
    <row r="2" spans="1:15" ht="15.75" thickBot="1">
      <c r="A2" s="68" t="s">
        <v>213</v>
      </c>
      <c r="B2" s="69" t="s">
        <v>2</v>
      </c>
      <c r="C2" s="69" t="s">
        <v>786</v>
      </c>
      <c r="D2" s="69" t="s">
        <v>3</v>
      </c>
      <c r="E2" s="69" t="s">
        <v>4</v>
      </c>
      <c r="F2" s="69" t="s">
        <v>214</v>
      </c>
      <c r="G2" s="69" t="s">
        <v>128</v>
      </c>
      <c r="H2" s="69" t="s">
        <v>5</v>
      </c>
      <c r="I2" s="69" t="s">
        <v>215</v>
      </c>
      <c r="J2" s="69" t="s">
        <v>594</v>
      </c>
      <c r="K2" s="10" t="s">
        <v>233</v>
      </c>
      <c r="L2" s="10" t="s">
        <v>234</v>
      </c>
      <c r="M2" s="10" t="s">
        <v>235</v>
      </c>
      <c r="N2" s="10" t="s">
        <v>236</v>
      </c>
      <c r="O2" s="11" t="s">
        <v>237</v>
      </c>
    </row>
    <row r="3" spans="1:15" ht="15.75" thickBot="1">
      <c r="A3" s="14" t="s">
        <v>268</v>
      </c>
      <c r="B3" s="61" t="s">
        <v>269</v>
      </c>
      <c r="C3" s="62" t="s">
        <v>96</v>
      </c>
      <c r="D3" s="63" t="s">
        <v>39</v>
      </c>
      <c r="E3" s="62" t="s">
        <v>40</v>
      </c>
      <c r="F3" s="63" t="s">
        <v>238</v>
      </c>
      <c r="G3" s="62" t="s">
        <v>270</v>
      </c>
      <c r="H3" s="63" t="s">
        <v>14</v>
      </c>
      <c r="I3" s="62" t="s">
        <v>628</v>
      </c>
      <c r="J3" s="63" t="s">
        <v>623</v>
      </c>
      <c r="K3" s="115" t="s">
        <v>230</v>
      </c>
      <c r="L3" s="79">
        <v>265</v>
      </c>
      <c r="M3" s="115" t="s">
        <v>217</v>
      </c>
      <c r="N3" s="79" t="s">
        <v>20</v>
      </c>
      <c r="O3" s="115" t="s">
        <v>40</v>
      </c>
    </row>
    <row r="4" spans="1:15" ht="15.75" thickBot="1">
      <c r="A4" s="13" t="s">
        <v>271</v>
      </c>
      <c r="B4" s="64" t="s">
        <v>740</v>
      </c>
      <c r="C4" s="65" t="s">
        <v>753</v>
      </c>
      <c r="D4" s="66" t="s">
        <v>39</v>
      </c>
      <c r="E4" s="65" t="s">
        <v>40</v>
      </c>
      <c r="F4" s="66" t="s">
        <v>238</v>
      </c>
      <c r="G4" s="65" t="s">
        <v>754</v>
      </c>
      <c r="H4" s="66" t="s">
        <v>14</v>
      </c>
      <c r="I4" s="65" t="s">
        <v>628</v>
      </c>
      <c r="J4" s="66"/>
      <c r="K4" s="115" t="s">
        <v>230</v>
      </c>
      <c r="L4" s="79">
        <v>101.4</v>
      </c>
      <c r="M4" s="115" t="s">
        <v>217</v>
      </c>
      <c r="N4" s="79" t="s">
        <v>20</v>
      </c>
      <c r="O4" s="115" t="s">
        <v>40</v>
      </c>
    </row>
    <row r="5" spans="1:15" ht="15.75" thickBot="1">
      <c r="A5" s="13" t="s">
        <v>272</v>
      </c>
      <c r="B5" s="64" t="s">
        <v>273</v>
      </c>
      <c r="C5" s="65" t="s">
        <v>274</v>
      </c>
      <c r="D5" s="66" t="s">
        <v>12</v>
      </c>
      <c r="E5" s="65" t="s">
        <v>13</v>
      </c>
      <c r="F5" s="66" t="s">
        <v>238</v>
      </c>
      <c r="G5" s="65" t="s">
        <v>275</v>
      </c>
      <c r="H5" s="66" t="s">
        <v>14</v>
      </c>
      <c r="I5" s="65" t="s">
        <v>628</v>
      </c>
      <c r="J5" s="66"/>
      <c r="K5" s="115" t="s">
        <v>230</v>
      </c>
      <c r="L5" s="79">
        <v>120</v>
      </c>
      <c r="M5" s="115" t="s">
        <v>217</v>
      </c>
      <c r="N5" s="79" t="s">
        <v>20</v>
      </c>
      <c r="O5" s="115" t="s">
        <v>13</v>
      </c>
    </row>
    <row r="6" spans="1:15" ht="15.75" thickBot="1">
      <c r="A6" s="13" t="s">
        <v>276</v>
      </c>
      <c r="B6" s="64" t="s">
        <v>277</v>
      </c>
      <c r="C6" s="65" t="s">
        <v>96</v>
      </c>
      <c r="D6" s="66" t="s">
        <v>39</v>
      </c>
      <c r="E6" s="65" t="s">
        <v>40</v>
      </c>
      <c r="F6" s="66" t="s">
        <v>654</v>
      </c>
      <c r="G6" s="65" t="s">
        <v>278</v>
      </c>
      <c r="H6" s="66" t="s">
        <v>219</v>
      </c>
      <c r="I6" s="65" t="s">
        <v>628</v>
      </c>
      <c r="J6" s="66"/>
      <c r="K6" s="115" t="s">
        <v>230</v>
      </c>
      <c r="L6" s="79">
        <v>14.7</v>
      </c>
      <c r="M6" s="115" t="s">
        <v>217</v>
      </c>
      <c r="N6" s="79" t="s">
        <v>20</v>
      </c>
      <c r="O6" s="115" t="s">
        <v>40</v>
      </c>
    </row>
    <row r="7" spans="1:15" ht="15.75" thickBot="1">
      <c r="A7" s="13" t="s">
        <v>279</v>
      </c>
      <c r="B7" s="64" t="s">
        <v>280</v>
      </c>
      <c r="C7" s="65" t="s">
        <v>281</v>
      </c>
      <c r="D7" s="66" t="s">
        <v>39</v>
      </c>
      <c r="E7" s="65" t="s">
        <v>40</v>
      </c>
      <c r="F7" s="66" t="s">
        <v>238</v>
      </c>
      <c r="G7" s="65" t="s">
        <v>303</v>
      </c>
      <c r="H7" s="66" t="s">
        <v>14</v>
      </c>
      <c r="I7" s="65" t="s">
        <v>628</v>
      </c>
      <c r="J7" s="66" t="s">
        <v>595</v>
      </c>
      <c r="K7" s="115" t="s">
        <v>230</v>
      </c>
      <c r="L7" s="79">
        <v>92.5</v>
      </c>
      <c r="M7" s="115" t="s">
        <v>217</v>
      </c>
      <c r="N7" s="79" t="s">
        <v>20</v>
      </c>
      <c r="O7" s="115" t="s">
        <v>40</v>
      </c>
    </row>
    <row r="8" spans="1:15" ht="15.75" thickBot="1">
      <c r="A8" s="13" t="s">
        <v>591</v>
      </c>
      <c r="B8" s="64" t="s">
        <v>290</v>
      </c>
      <c r="C8" s="67" t="s">
        <v>291</v>
      </c>
      <c r="D8" s="66" t="s">
        <v>51</v>
      </c>
      <c r="E8" s="67" t="s">
        <v>40</v>
      </c>
      <c r="F8" s="66" t="s">
        <v>238</v>
      </c>
      <c r="G8" s="67" t="s">
        <v>247</v>
      </c>
      <c r="H8" s="66" t="s">
        <v>14</v>
      </c>
      <c r="I8" s="67" t="s">
        <v>628</v>
      </c>
      <c r="J8" s="66"/>
      <c r="K8" s="115" t="s">
        <v>230</v>
      </c>
      <c r="L8" s="79">
        <v>150</v>
      </c>
      <c r="M8" s="115" t="s">
        <v>217</v>
      </c>
      <c r="N8" s="79" t="s">
        <v>20</v>
      </c>
      <c r="O8" s="115" t="s">
        <v>40</v>
      </c>
    </row>
    <row r="9" spans="1:15" ht="15.75" thickBot="1">
      <c r="A9" s="13" t="s">
        <v>629</v>
      </c>
      <c r="B9" s="64" t="s">
        <v>630</v>
      </c>
      <c r="C9" s="67" t="s">
        <v>216</v>
      </c>
      <c r="D9" s="66" t="s">
        <v>39</v>
      </c>
      <c r="E9" s="67" t="s">
        <v>40</v>
      </c>
      <c r="F9" s="66" t="s">
        <v>238</v>
      </c>
      <c r="G9" s="67" t="s">
        <v>267</v>
      </c>
      <c r="H9" s="66" t="s">
        <v>14</v>
      </c>
      <c r="I9" s="67" t="s">
        <v>628</v>
      </c>
      <c r="J9" s="66" t="s">
        <v>631</v>
      </c>
      <c r="K9" s="115" t="s">
        <v>230</v>
      </c>
      <c r="L9" s="79">
        <v>60</v>
      </c>
      <c r="M9" s="115" t="s">
        <v>217</v>
      </c>
      <c r="N9" s="79" t="s">
        <v>20</v>
      </c>
      <c r="O9" s="115" t="s">
        <v>40</v>
      </c>
    </row>
    <row r="10" spans="1:15" ht="15.75" thickBot="1">
      <c r="A10" s="13" t="s">
        <v>282</v>
      </c>
      <c r="B10" s="64" t="s">
        <v>240</v>
      </c>
      <c r="C10" s="67" t="s">
        <v>121</v>
      </c>
      <c r="D10" s="66" t="s">
        <v>39</v>
      </c>
      <c r="E10" s="67" t="s">
        <v>40</v>
      </c>
      <c r="F10" s="66" t="s">
        <v>238</v>
      </c>
      <c r="G10" s="67" t="s">
        <v>248</v>
      </c>
      <c r="H10" s="66" t="s">
        <v>219</v>
      </c>
      <c r="I10" s="67" t="s">
        <v>264</v>
      </c>
      <c r="J10" s="66" t="s">
        <v>596</v>
      </c>
      <c r="K10" s="115" t="s">
        <v>230</v>
      </c>
      <c r="L10" s="79">
        <v>100</v>
      </c>
      <c r="M10" s="115" t="s">
        <v>217</v>
      </c>
      <c r="N10" s="79" t="s">
        <v>20</v>
      </c>
      <c r="O10" s="115" t="s">
        <v>40</v>
      </c>
    </row>
    <row r="11" spans="1:15" ht="15.75" thickBot="1">
      <c r="A11" s="13" t="s">
        <v>283</v>
      </c>
      <c r="B11" s="64" t="s">
        <v>284</v>
      </c>
      <c r="C11" s="67" t="s">
        <v>96</v>
      </c>
      <c r="D11" s="66" t="s">
        <v>39</v>
      </c>
      <c r="E11" s="67" t="s">
        <v>40</v>
      </c>
      <c r="F11" s="66" t="s">
        <v>238</v>
      </c>
      <c r="G11" s="67" t="s">
        <v>634</v>
      </c>
      <c r="H11" s="66" t="s">
        <v>14</v>
      </c>
      <c r="I11" s="67" t="s">
        <v>628</v>
      </c>
      <c r="J11" s="66"/>
      <c r="K11" s="115" t="s">
        <v>230</v>
      </c>
      <c r="L11" s="79">
        <v>200</v>
      </c>
      <c r="M11" s="115" t="s">
        <v>217</v>
      </c>
      <c r="N11" s="79" t="s">
        <v>20</v>
      </c>
      <c r="O11" s="115" t="s">
        <v>40</v>
      </c>
    </row>
    <row r="12" spans="1:15" ht="15.75" thickBot="1">
      <c r="A12" s="13" t="s">
        <v>285</v>
      </c>
      <c r="B12" s="64" t="s">
        <v>240</v>
      </c>
      <c r="C12" s="67" t="s">
        <v>121</v>
      </c>
      <c r="D12" s="66" t="s">
        <v>39</v>
      </c>
      <c r="E12" s="67" t="s">
        <v>40</v>
      </c>
      <c r="F12" s="66" t="s">
        <v>238</v>
      </c>
      <c r="G12" s="67" t="s">
        <v>286</v>
      </c>
      <c r="H12" s="66" t="s">
        <v>219</v>
      </c>
      <c r="I12" s="67" t="s">
        <v>628</v>
      </c>
      <c r="J12" s="66" t="s">
        <v>596</v>
      </c>
      <c r="K12" s="115" t="s">
        <v>230</v>
      </c>
      <c r="L12" s="79">
        <v>40</v>
      </c>
      <c r="M12" s="115" t="s">
        <v>217</v>
      </c>
      <c r="N12" s="79" t="s">
        <v>20</v>
      </c>
      <c r="O12" s="115" t="s">
        <v>40</v>
      </c>
    </row>
    <row r="13" spans="1:15" ht="15.75" thickBot="1">
      <c r="A13" s="13" t="s">
        <v>736</v>
      </c>
      <c r="B13" s="64" t="s">
        <v>741</v>
      </c>
      <c r="C13" s="67" t="s">
        <v>96</v>
      </c>
      <c r="D13" s="66" t="s">
        <v>51</v>
      </c>
      <c r="E13" s="67" t="s">
        <v>40</v>
      </c>
      <c r="F13" s="66" t="s">
        <v>239</v>
      </c>
      <c r="G13" s="67" t="s">
        <v>742</v>
      </c>
      <c r="H13" s="66" t="s">
        <v>14</v>
      </c>
      <c r="I13" s="67" t="s">
        <v>762</v>
      </c>
      <c r="J13" s="66" t="s">
        <v>743</v>
      </c>
      <c r="K13" s="115" t="s">
        <v>229</v>
      </c>
      <c r="L13" s="79">
        <v>34.5</v>
      </c>
      <c r="M13" s="115" t="s">
        <v>217</v>
      </c>
      <c r="N13" s="79" t="s">
        <v>20</v>
      </c>
      <c r="O13" s="115" t="s">
        <v>40</v>
      </c>
    </row>
    <row r="14" spans="1:15" ht="15.75" thickBot="1">
      <c r="A14" s="13" t="s">
        <v>287</v>
      </c>
      <c r="B14" s="64" t="s">
        <v>288</v>
      </c>
      <c r="C14" s="67" t="s">
        <v>289</v>
      </c>
      <c r="D14" s="66" t="s">
        <v>51</v>
      </c>
      <c r="E14" s="67" t="s">
        <v>40</v>
      </c>
      <c r="F14" s="66" t="s">
        <v>238</v>
      </c>
      <c r="G14" s="67" t="s">
        <v>253</v>
      </c>
      <c r="H14" s="66" t="s">
        <v>219</v>
      </c>
      <c r="I14" s="67" t="s">
        <v>628</v>
      </c>
      <c r="J14" s="66"/>
      <c r="K14" s="115" t="s">
        <v>230</v>
      </c>
      <c r="L14" s="79">
        <v>90</v>
      </c>
      <c r="M14" s="115" t="s">
        <v>217</v>
      </c>
      <c r="N14" s="79" t="s">
        <v>20</v>
      </c>
      <c r="O14" s="115" t="s">
        <v>40</v>
      </c>
    </row>
    <row r="15" spans="1:15" ht="15.75" thickBot="1">
      <c r="A15" s="13" t="s">
        <v>292</v>
      </c>
      <c r="B15" s="64" t="s">
        <v>266</v>
      </c>
      <c r="C15" s="67" t="s">
        <v>293</v>
      </c>
      <c r="D15" s="66" t="s">
        <v>51</v>
      </c>
      <c r="E15" s="67" t="s">
        <v>40</v>
      </c>
      <c r="F15" s="66" t="s">
        <v>238</v>
      </c>
      <c r="G15" s="67" t="s">
        <v>294</v>
      </c>
      <c r="H15" s="66" t="s">
        <v>14</v>
      </c>
      <c r="I15" s="67" t="s">
        <v>628</v>
      </c>
      <c r="J15" s="66"/>
      <c r="K15" s="115" t="s">
        <v>230</v>
      </c>
      <c r="L15" s="79">
        <v>1200</v>
      </c>
      <c r="M15" s="115" t="s">
        <v>217</v>
      </c>
      <c r="N15" s="79" t="s">
        <v>20</v>
      </c>
      <c r="O15" s="115" t="s">
        <v>40</v>
      </c>
    </row>
    <row r="16" spans="1:15" ht="15.75" thickBot="1">
      <c r="A16" s="13" t="s">
        <v>744</v>
      </c>
      <c r="B16" s="64" t="s">
        <v>295</v>
      </c>
      <c r="C16" s="67" t="s">
        <v>216</v>
      </c>
      <c r="D16" s="66" t="s">
        <v>604</v>
      </c>
      <c r="E16" s="67" t="s">
        <v>730</v>
      </c>
      <c r="F16" s="66" t="s">
        <v>654</v>
      </c>
      <c r="G16" s="67" t="s">
        <v>692</v>
      </c>
      <c r="H16" s="66" t="s">
        <v>10</v>
      </c>
      <c r="I16" s="67" t="s">
        <v>628</v>
      </c>
      <c r="J16" s="66" t="s">
        <v>745</v>
      </c>
      <c r="K16" s="115" t="s">
        <v>230</v>
      </c>
      <c r="L16" s="79">
        <v>20</v>
      </c>
      <c r="M16" s="115" t="s">
        <v>217</v>
      </c>
      <c r="N16" s="79" t="s">
        <v>20</v>
      </c>
      <c r="O16" s="115" t="s">
        <v>604</v>
      </c>
    </row>
    <row r="17" spans="1:15" ht="15.75" thickBot="1">
      <c r="A17" s="13" t="s">
        <v>746</v>
      </c>
      <c r="B17" s="64" t="s">
        <v>295</v>
      </c>
      <c r="C17" s="67" t="s">
        <v>121</v>
      </c>
      <c r="D17" s="66" t="s">
        <v>51</v>
      </c>
      <c r="E17" s="67" t="s">
        <v>40</v>
      </c>
      <c r="F17" s="66" t="s">
        <v>654</v>
      </c>
      <c r="G17" s="67" t="s">
        <v>263</v>
      </c>
      <c r="H17" s="66" t="s">
        <v>14</v>
      </c>
      <c r="I17" s="67" t="s">
        <v>628</v>
      </c>
      <c r="J17" s="66" t="s">
        <v>745</v>
      </c>
      <c r="K17" s="115" t="s">
        <v>230</v>
      </c>
      <c r="L17" s="79">
        <v>55</v>
      </c>
      <c r="M17" s="115" t="s">
        <v>217</v>
      </c>
      <c r="N17" s="79" t="s">
        <v>20</v>
      </c>
      <c r="O17" s="115" t="s">
        <v>40</v>
      </c>
    </row>
    <row r="18" spans="1:15" ht="15.75" thickBot="1">
      <c r="A18" s="13" t="s">
        <v>296</v>
      </c>
      <c r="B18" s="64" t="s">
        <v>297</v>
      </c>
      <c r="C18" s="67" t="s">
        <v>96</v>
      </c>
      <c r="D18" s="66" t="s">
        <v>51</v>
      </c>
      <c r="E18" s="67" t="s">
        <v>40</v>
      </c>
      <c r="F18" s="66" t="s">
        <v>239</v>
      </c>
      <c r="G18" s="67" t="s">
        <v>298</v>
      </c>
      <c r="H18" s="66" t="s">
        <v>14</v>
      </c>
      <c r="I18" s="67" t="s">
        <v>620</v>
      </c>
      <c r="J18" s="66"/>
      <c r="K18" s="115" t="s">
        <v>229</v>
      </c>
      <c r="L18" s="79">
        <v>56</v>
      </c>
      <c r="M18" s="115" t="s">
        <v>217</v>
      </c>
      <c r="N18" s="79" t="s">
        <v>20</v>
      </c>
      <c r="O18" s="115" t="s">
        <v>40</v>
      </c>
    </row>
    <row r="19" spans="1:15" ht="15.75" thickBot="1">
      <c r="A19" s="13" t="s">
        <v>299</v>
      </c>
      <c r="B19" s="64" t="s">
        <v>266</v>
      </c>
      <c r="C19" s="67" t="s">
        <v>99</v>
      </c>
      <c r="D19" s="66" t="s">
        <v>51</v>
      </c>
      <c r="E19" s="67" t="s">
        <v>40</v>
      </c>
      <c r="F19" s="66" t="s">
        <v>238</v>
      </c>
      <c r="G19" s="67" t="s">
        <v>244</v>
      </c>
      <c r="H19" s="66" t="s">
        <v>14</v>
      </c>
      <c r="I19" s="67" t="s">
        <v>628</v>
      </c>
      <c r="J19" s="66"/>
      <c r="K19" s="115" t="s">
        <v>230</v>
      </c>
      <c r="L19" s="79">
        <v>112</v>
      </c>
      <c r="M19" s="115" t="s">
        <v>217</v>
      </c>
      <c r="N19" s="79" t="s">
        <v>20</v>
      </c>
      <c r="O19" s="115" t="s">
        <v>40</v>
      </c>
    </row>
    <row r="20" spans="1:15" ht="15.75" thickBot="1">
      <c r="A20" s="13" t="s">
        <v>300</v>
      </c>
      <c r="B20" s="64" t="s">
        <v>86</v>
      </c>
      <c r="C20" s="67" t="s">
        <v>98</v>
      </c>
      <c r="D20" s="66" t="s">
        <v>51</v>
      </c>
      <c r="E20" s="67" t="s">
        <v>40</v>
      </c>
      <c r="F20" s="66" t="s">
        <v>238</v>
      </c>
      <c r="G20" s="67" t="s">
        <v>301</v>
      </c>
      <c r="H20" s="66" t="s">
        <v>14</v>
      </c>
      <c r="I20" s="67" t="s">
        <v>628</v>
      </c>
      <c r="J20" s="66" t="s">
        <v>623</v>
      </c>
      <c r="K20" s="115" t="s">
        <v>230</v>
      </c>
      <c r="L20" s="79">
        <v>350</v>
      </c>
      <c r="M20" s="115" t="s">
        <v>217</v>
      </c>
      <c r="N20" s="79" t="s">
        <v>20</v>
      </c>
      <c r="O20" s="115" t="s">
        <v>40</v>
      </c>
    </row>
    <row r="21" spans="1:15" ht="15.75" thickBot="1">
      <c r="A21" s="13" t="s">
        <v>632</v>
      </c>
      <c r="B21" s="64" t="s">
        <v>633</v>
      </c>
      <c r="C21" s="67" t="s">
        <v>216</v>
      </c>
      <c r="D21" s="66" t="s">
        <v>39</v>
      </c>
      <c r="E21" s="67" t="s">
        <v>40</v>
      </c>
      <c r="F21" s="66" t="s">
        <v>238</v>
      </c>
      <c r="G21" s="67" t="s">
        <v>634</v>
      </c>
      <c r="H21" s="66" t="s">
        <v>14</v>
      </c>
      <c r="I21" s="67" t="s">
        <v>628</v>
      </c>
      <c r="J21" s="66" t="s">
        <v>635</v>
      </c>
      <c r="K21" s="115" t="s">
        <v>230</v>
      </c>
      <c r="L21" s="79">
        <v>200</v>
      </c>
      <c r="M21" s="115" t="s">
        <v>217</v>
      </c>
      <c r="N21" s="79" t="s">
        <v>20</v>
      </c>
      <c r="O21" s="115" t="s">
        <v>40</v>
      </c>
    </row>
    <row r="22" spans="1:15" ht="15.75" thickBot="1">
      <c r="A22" s="13" t="s">
        <v>636</v>
      </c>
      <c r="B22" s="64" t="s">
        <v>633</v>
      </c>
      <c r="C22" s="67" t="s">
        <v>216</v>
      </c>
      <c r="D22" s="66" t="s">
        <v>12</v>
      </c>
      <c r="E22" s="67" t="s">
        <v>13</v>
      </c>
      <c r="F22" s="66" t="s">
        <v>238</v>
      </c>
      <c r="G22" s="67" t="s">
        <v>216</v>
      </c>
      <c r="H22" s="66" t="s">
        <v>14</v>
      </c>
      <c r="I22" s="67" t="s">
        <v>628</v>
      </c>
      <c r="J22" s="66" t="s">
        <v>635</v>
      </c>
      <c r="K22" s="115" t="s">
        <v>230</v>
      </c>
      <c r="L22" s="79">
        <v>0</v>
      </c>
      <c r="M22" s="115" t="s">
        <v>218</v>
      </c>
      <c r="N22" s="79" t="s">
        <v>20</v>
      </c>
      <c r="O22" s="115" t="s">
        <v>13</v>
      </c>
    </row>
    <row r="23" spans="1:15" ht="15.75" thickBot="1">
      <c r="A23" s="13" t="s">
        <v>100</v>
      </c>
      <c r="B23" s="64" t="s">
        <v>302</v>
      </c>
      <c r="C23" s="67" t="s">
        <v>101</v>
      </c>
      <c r="D23" s="66" t="s">
        <v>39</v>
      </c>
      <c r="E23" s="67" t="s">
        <v>40</v>
      </c>
      <c r="F23" s="66" t="s">
        <v>229</v>
      </c>
      <c r="G23" s="67" t="s">
        <v>303</v>
      </c>
      <c r="H23" s="66" t="s">
        <v>14</v>
      </c>
      <c r="I23" s="67" t="s">
        <v>251</v>
      </c>
      <c r="J23" s="66" t="s">
        <v>597</v>
      </c>
      <c r="K23" s="115" t="s">
        <v>229</v>
      </c>
      <c r="L23" s="79">
        <v>92.5</v>
      </c>
      <c r="M23" s="115" t="s">
        <v>217</v>
      </c>
      <c r="N23" s="79" t="s">
        <v>20</v>
      </c>
      <c r="O23" s="115" t="s">
        <v>40</v>
      </c>
    </row>
    <row r="24" spans="1:15" ht="15.75" thickBot="1">
      <c r="A24" s="13" t="s">
        <v>304</v>
      </c>
      <c r="B24" s="64" t="s">
        <v>245</v>
      </c>
      <c r="C24" s="67" t="s">
        <v>121</v>
      </c>
      <c r="D24" s="66" t="s">
        <v>39</v>
      </c>
      <c r="E24" s="67" t="s">
        <v>40</v>
      </c>
      <c r="F24" s="66" t="s">
        <v>238</v>
      </c>
      <c r="G24" s="67" t="s">
        <v>242</v>
      </c>
      <c r="H24" s="66" t="s">
        <v>14</v>
      </c>
      <c r="I24" s="67" t="s">
        <v>305</v>
      </c>
      <c r="J24" s="66"/>
      <c r="K24" s="115" t="s">
        <v>230</v>
      </c>
      <c r="L24" s="79">
        <v>120</v>
      </c>
      <c r="M24" s="115" t="s">
        <v>217</v>
      </c>
      <c r="N24" s="79" t="s">
        <v>20</v>
      </c>
      <c r="O24" s="115" t="s">
        <v>40</v>
      </c>
    </row>
    <row r="25" spans="1:15" ht="15.75" thickBot="1">
      <c r="A25" s="13" t="s">
        <v>102</v>
      </c>
      <c r="B25" s="64" t="s">
        <v>92</v>
      </c>
      <c r="C25" s="67" t="s">
        <v>103</v>
      </c>
      <c r="D25" s="66" t="s">
        <v>39</v>
      </c>
      <c r="E25" s="67" t="s">
        <v>40</v>
      </c>
      <c r="F25" s="66" t="s">
        <v>229</v>
      </c>
      <c r="G25" s="67" t="s">
        <v>306</v>
      </c>
      <c r="H25" s="66" t="s">
        <v>14</v>
      </c>
      <c r="I25" s="67" t="s">
        <v>307</v>
      </c>
      <c r="J25" s="66"/>
      <c r="K25" s="115" t="s">
        <v>229</v>
      </c>
      <c r="L25" s="79">
        <v>42.5</v>
      </c>
      <c r="M25" s="115" t="s">
        <v>217</v>
      </c>
      <c r="N25" s="79" t="s">
        <v>20</v>
      </c>
      <c r="O25" s="115" t="s">
        <v>40</v>
      </c>
    </row>
    <row r="26" spans="1:15" ht="15.75" thickBot="1">
      <c r="A26" s="13" t="s">
        <v>308</v>
      </c>
      <c r="B26" s="64" t="s">
        <v>309</v>
      </c>
      <c r="C26" s="67" t="s">
        <v>310</v>
      </c>
      <c r="D26" s="66" t="s">
        <v>39</v>
      </c>
      <c r="E26" s="67" t="s">
        <v>40</v>
      </c>
      <c r="F26" s="66" t="s">
        <v>238</v>
      </c>
      <c r="G26" s="67" t="s">
        <v>311</v>
      </c>
      <c r="H26" s="66" t="s">
        <v>14</v>
      </c>
      <c r="I26" s="67" t="s">
        <v>628</v>
      </c>
      <c r="J26" s="66"/>
      <c r="K26" s="115" t="s">
        <v>230</v>
      </c>
      <c r="L26" s="79">
        <v>324</v>
      </c>
      <c r="M26" s="115" t="s">
        <v>217</v>
      </c>
      <c r="N26" s="79" t="s">
        <v>20</v>
      </c>
      <c r="O26" s="115" t="s">
        <v>40</v>
      </c>
    </row>
    <row r="27" spans="1:15" ht="15.75" thickBot="1">
      <c r="A27" s="13" t="s">
        <v>598</v>
      </c>
      <c r="B27" s="64" t="s">
        <v>599</v>
      </c>
      <c r="C27" s="67" t="s">
        <v>600</v>
      </c>
      <c r="D27" s="66" t="s">
        <v>39</v>
      </c>
      <c r="E27" s="67" t="s">
        <v>40</v>
      </c>
      <c r="F27" s="66" t="s">
        <v>238</v>
      </c>
      <c r="G27" s="67" t="s">
        <v>684</v>
      </c>
      <c r="H27" s="66" t="s">
        <v>14</v>
      </c>
      <c r="I27" s="67" t="s">
        <v>628</v>
      </c>
      <c r="J27" s="66"/>
      <c r="K27" s="115" t="s">
        <v>230</v>
      </c>
      <c r="L27" s="79">
        <v>285</v>
      </c>
      <c r="M27" s="115" t="s">
        <v>217</v>
      </c>
      <c r="N27" s="79" t="s">
        <v>20</v>
      </c>
      <c r="O27" s="115" t="s">
        <v>40</v>
      </c>
    </row>
    <row r="28" spans="1:15" ht="15.75" thickBot="1">
      <c r="A28" s="13" t="s">
        <v>734</v>
      </c>
      <c r="B28" s="64" t="s">
        <v>38</v>
      </c>
      <c r="C28" s="67" t="s">
        <v>787</v>
      </c>
      <c r="D28" s="66" t="s">
        <v>12</v>
      </c>
      <c r="E28" s="67" t="s">
        <v>13</v>
      </c>
      <c r="F28" s="66" t="s">
        <v>239</v>
      </c>
      <c r="G28" s="67" t="s">
        <v>732</v>
      </c>
      <c r="H28" s="66" t="s">
        <v>14</v>
      </c>
      <c r="I28" s="67" t="s">
        <v>426</v>
      </c>
      <c r="J28" s="66" t="s">
        <v>733</v>
      </c>
      <c r="K28" s="115" t="s">
        <v>229</v>
      </c>
      <c r="L28" s="79">
        <v>453</v>
      </c>
      <c r="M28" s="115" t="s">
        <v>217</v>
      </c>
      <c r="N28" s="79" t="s">
        <v>20</v>
      </c>
      <c r="O28" s="115" t="s">
        <v>13</v>
      </c>
    </row>
    <row r="29" spans="1:15" ht="15.75" thickBot="1">
      <c r="A29" s="13" t="s">
        <v>312</v>
      </c>
      <c r="B29" s="64" t="s">
        <v>216</v>
      </c>
      <c r="C29" s="67" t="s">
        <v>313</v>
      </c>
      <c r="D29" s="66" t="s">
        <v>51</v>
      </c>
      <c r="E29" s="67" t="s">
        <v>40</v>
      </c>
      <c r="F29" s="66" t="s">
        <v>238</v>
      </c>
      <c r="G29" s="67" t="s">
        <v>314</v>
      </c>
      <c r="H29" s="66" t="s">
        <v>219</v>
      </c>
      <c r="I29" s="67" t="s">
        <v>628</v>
      </c>
      <c r="J29" s="66" t="s">
        <v>623</v>
      </c>
      <c r="K29" s="115" t="s">
        <v>230</v>
      </c>
      <c r="L29" s="79">
        <v>30</v>
      </c>
      <c r="M29" s="115" t="s">
        <v>217</v>
      </c>
      <c r="N29" s="79" t="s">
        <v>20</v>
      </c>
      <c r="O29" s="115" t="s">
        <v>40</v>
      </c>
    </row>
    <row r="30" spans="1:15" ht="15.75" thickBot="1">
      <c r="A30" s="13" t="s">
        <v>105</v>
      </c>
      <c r="B30" s="64" t="s">
        <v>105</v>
      </c>
      <c r="C30" s="67" t="s">
        <v>96</v>
      </c>
      <c r="D30" s="66" t="s">
        <v>39</v>
      </c>
      <c r="E30" s="67" t="s">
        <v>40</v>
      </c>
      <c r="F30" s="66" t="s">
        <v>229</v>
      </c>
      <c r="G30" s="67" t="s">
        <v>315</v>
      </c>
      <c r="H30" s="66" t="s">
        <v>14</v>
      </c>
      <c r="I30" s="67" t="s">
        <v>783</v>
      </c>
      <c r="J30" s="66" t="s">
        <v>623</v>
      </c>
      <c r="K30" s="115" t="s">
        <v>229</v>
      </c>
      <c r="L30" s="79">
        <v>167.5</v>
      </c>
      <c r="M30" s="115" t="s">
        <v>217</v>
      </c>
      <c r="N30" s="79" t="s">
        <v>20</v>
      </c>
      <c r="O30" s="115" t="s">
        <v>40</v>
      </c>
    </row>
    <row r="31" spans="1:15" ht="15.75" thickBot="1">
      <c r="A31" s="13" t="s">
        <v>316</v>
      </c>
      <c r="B31" s="64" t="s">
        <v>317</v>
      </c>
      <c r="C31" s="67" t="s">
        <v>96</v>
      </c>
      <c r="D31" s="66" t="s">
        <v>39</v>
      </c>
      <c r="E31" s="67" t="s">
        <v>40</v>
      </c>
      <c r="F31" s="66" t="s">
        <v>238</v>
      </c>
      <c r="G31" s="67" t="s">
        <v>259</v>
      </c>
      <c r="H31" s="66" t="s">
        <v>14</v>
      </c>
      <c r="I31" s="67" t="s">
        <v>628</v>
      </c>
      <c r="J31" s="66"/>
      <c r="K31" s="115" t="s">
        <v>230</v>
      </c>
      <c r="L31" s="79">
        <v>250</v>
      </c>
      <c r="M31" s="115" t="s">
        <v>217</v>
      </c>
      <c r="N31" s="79" t="s">
        <v>20</v>
      </c>
      <c r="O31" s="115" t="s">
        <v>40</v>
      </c>
    </row>
    <row r="32" spans="1:15" ht="15.75" thickBot="1">
      <c r="A32" s="13" t="s">
        <v>714</v>
      </c>
      <c r="B32" s="64" t="s">
        <v>262</v>
      </c>
      <c r="C32" s="67" t="s">
        <v>96</v>
      </c>
      <c r="D32" s="66" t="s">
        <v>39</v>
      </c>
      <c r="E32" s="67" t="s">
        <v>40</v>
      </c>
      <c r="F32" s="66" t="s">
        <v>238</v>
      </c>
      <c r="G32" s="67" t="s">
        <v>715</v>
      </c>
      <c r="H32" s="66" t="s">
        <v>14</v>
      </c>
      <c r="I32" s="67" t="s">
        <v>628</v>
      </c>
      <c r="J32" s="66" t="s">
        <v>716</v>
      </c>
      <c r="K32" s="115" t="s">
        <v>230</v>
      </c>
      <c r="L32" s="79">
        <v>85</v>
      </c>
      <c r="M32" s="115" t="s">
        <v>217</v>
      </c>
      <c r="N32" s="79" t="s">
        <v>20</v>
      </c>
      <c r="O32" s="115" t="s">
        <v>40</v>
      </c>
    </row>
    <row r="33" spans="1:15" ht="15.75" thickBot="1">
      <c r="A33" s="13" t="s">
        <v>318</v>
      </c>
      <c r="B33" s="64" t="s">
        <v>319</v>
      </c>
      <c r="C33" s="67" t="s">
        <v>248</v>
      </c>
      <c r="D33" s="66" t="s">
        <v>39</v>
      </c>
      <c r="E33" s="67" t="s">
        <v>40</v>
      </c>
      <c r="F33" s="66" t="s">
        <v>238</v>
      </c>
      <c r="G33" s="67" t="s">
        <v>248</v>
      </c>
      <c r="H33" s="66" t="s">
        <v>14</v>
      </c>
      <c r="I33" s="67" t="s">
        <v>628</v>
      </c>
      <c r="J33" s="66"/>
      <c r="K33" s="115" t="s">
        <v>230</v>
      </c>
      <c r="L33" s="79">
        <v>100</v>
      </c>
      <c r="M33" s="115" t="s">
        <v>217</v>
      </c>
      <c r="N33" s="79" t="s">
        <v>20</v>
      </c>
      <c r="O33" s="115" t="s">
        <v>40</v>
      </c>
    </row>
    <row r="34" spans="1:15" ht="15.75" thickBot="1">
      <c r="A34" s="13" t="s">
        <v>320</v>
      </c>
      <c r="B34" s="64" t="s">
        <v>582</v>
      </c>
      <c r="C34" s="67" t="s">
        <v>583</v>
      </c>
      <c r="D34" s="66" t="s">
        <v>51</v>
      </c>
      <c r="E34" s="67" t="s">
        <v>40</v>
      </c>
      <c r="F34" s="66" t="s">
        <v>239</v>
      </c>
      <c r="G34" s="67" t="s">
        <v>321</v>
      </c>
      <c r="H34" s="66" t="s">
        <v>14</v>
      </c>
      <c r="I34" s="67" t="s">
        <v>401</v>
      </c>
      <c r="J34" s="66"/>
      <c r="K34" s="115" t="s">
        <v>229</v>
      </c>
      <c r="L34" s="79">
        <v>72</v>
      </c>
      <c r="M34" s="115" t="s">
        <v>217</v>
      </c>
      <c r="N34" s="79" t="s">
        <v>20</v>
      </c>
      <c r="O34" s="115" t="s">
        <v>40</v>
      </c>
    </row>
    <row r="35" spans="1:15" ht="15.75" thickBot="1">
      <c r="A35" s="13" t="s">
        <v>322</v>
      </c>
      <c r="B35" s="64" t="s">
        <v>240</v>
      </c>
      <c r="C35" s="67" t="s">
        <v>323</v>
      </c>
      <c r="D35" s="66" t="s">
        <v>12</v>
      </c>
      <c r="E35" s="67" t="s">
        <v>13</v>
      </c>
      <c r="F35" s="66" t="s">
        <v>238</v>
      </c>
      <c r="G35" s="67" t="s">
        <v>123</v>
      </c>
      <c r="H35" s="66" t="s">
        <v>14</v>
      </c>
      <c r="I35" s="67" t="s">
        <v>628</v>
      </c>
      <c r="J35" s="66" t="s">
        <v>601</v>
      </c>
      <c r="K35" s="115" t="s">
        <v>230</v>
      </c>
      <c r="L35" s="79">
        <v>75</v>
      </c>
      <c r="M35" s="115" t="s">
        <v>217</v>
      </c>
      <c r="N35" s="79" t="s">
        <v>20</v>
      </c>
      <c r="O35" s="115" t="s">
        <v>13</v>
      </c>
    </row>
    <row r="36" spans="1:15" ht="15.75" thickBot="1">
      <c r="A36" s="13" t="s">
        <v>324</v>
      </c>
      <c r="B36" s="64" t="s">
        <v>152</v>
      </c>
      <c r="C36" s="67" t="s">
        <v>325</v>
      </c>
      <c r="D36" s="66" t="s">
        <v>590</v>
      </c>
      <c r="E36" s="67" t="s">
        <v>34</v>
      </c>
      <c r="F36" s="66" t="s">
        <v>238</v>
      </c>
      <c r="G36" s="67" t="s">
        <v>326</v>
      </c>
      <c r="H36" s="66" t="s">
        <v>219</v>
      </c>
      <c r="I36" s="67" t="s">
        <v>628</v>
      </c>
      <c r="J36" s="66"/>
      <c r="K36" s="115" t="s">
        <v>230</v>
      </c>
      <c r="L36" s="79">
        <v>15.205</v>
      </c>
      <c r="M36" s="115" t="s">
        <v>217</v>
      </c>
      <c r="N36" s="79" t="s">
        <v>20</v>
      </c>
      <c r="O36" s="115" t="s">
        <v>224</v>
      </c>
    </row>
    <row r="37" spans="1:15" ht="15.75" thickBot="1">
      <c r="A37" s="13" t="s">
        <v>327</v>
      </c>
      <c r="B37" s="64" t="s">
        <v>328</v>
      </c>
      <c r="C37" s="67" t="s">
        <v>329</v>
      </c>
      <c r="D37" s="66" t="s">
        <v>39</v>
      </c>
      <c r="E37" s="67" t="s">
        <v>40</v>
      </c>
      <c r="F37" s="66" t="s">
        <v>238</v>
      </c>
      <c r="G37" s="67" t="s">
        <v>330</v>
      </c>
      <c r="H37" s="66" t="s">
        <v>219</v>
      </c>
      <c r="I37" s="67" t="s">
        <v>331</v>
      </c>
      <c r="J37" s="66"/>
      <c r="K37" s="115" t="s">
        <v>230</v>
      </c>
      <c r="L37" s="79">
        <v>0.1656</v>
      </c>
      <c r="M37" s="115" t="s">
        <v>217</v>
      </c>
      <c r="N37" s="79" t="s">
        <v>20</v>
      </c>
      <c r="O37" s="115" t="s">
        <v>40</v>
      </c>
    </row>
    <row r="38" spans="1:15" ht="15.75" thickBot="1">
      <c r="A38" s="13" t="s">
        <v>332</v>
      </c>
      <c r="B38" s="64" t="s">
        <v>328</v>
      </c>
      <c r="C38" s="67" t="s">
        <v>333</v>
      </c>
      <c r="D38" s="66" t="s">
        <v>39</v>
      </c>
      <c r="E38" s="67" t="s">
        <v>40</v>
      </c>
      <c r="F38" s="66" t="s">
        <v>243</v>
      </c>
      <c r="G38" s="67" t="s">
        <v>334</v>
      </c>
      <c r="H38" s="66" t="s">
        <v>219</v>
      </c>
      <c r="I38" s="67" t="s">
        <v>331</v>
      </c>
      <c r="J38" s="66"/>
      <c r="K38" s="115" t="s">
        <v>230</v>
      </c>
      <c r="L38" s="79">
        <v>0.33119999999999999</v>
      </c>
      <c r="M38" s="115" t="s">
        <v>217</v>
      </c>
      <c r="N38" s="79" t="s">
        <v>20</v>
      </c>
      <c r="O38" s="115" t="s">
        <v>40</v>
      </c>
    </row>
    <row r="39" spans="1:15" ht="15.75" thickBot="1">
      <c r="A39" s="13" t="s">
        <v>335</v>
      </c>
      <c r="B39" s="64" t="s">
        <v>328</v>
      </c>
      <c r="C39" s="67" t="s">
        <v>336</v>
      </c>
      <c r="D39" s="66" t="s">
        <v>39</v>
      </c>
      <c r="E39" s="67" t="s">
        <v>40</v>
      </c>
      <c r="F39" s="66" t="s">
        <v>243</v>
      </c>
      <c r="G39" s="67" t="s">
        <v>334</v>
      </c>
      <c r="H39" s="66" t="s">
        <v>219</v>
      </c>
      <c r="I39" s="67" t="s">
        <v>331</v>
      </c>
      <c r="J39" s="66"/>
      <c r="K39" s="115" t="s">
        <v>230</v>
      </c>
      <c r="L39" s="79">
        <v>0.33119999999999999</v>
      </c>
      <c r="M39" s="115" t="s">
        <v>217</v>
      </c>
      <c r="N39" s="79" t="s">
        <v>20</v>
      </c>
      <c r="O39" s="115" t="s">
        <v>40</v>
      </c>
    </row>
    <row r="40" spans="1:15" ht="23.25" thickBot="1">
      <c r="A40" s="13" t="s">
        <v>765</v>
      </c>
      <c r="B40" s="64" t="s">
        <v>766</v>
      </c>
      <c r="C40" s="67" t="s">
        <v>96</v>
      </c>
      <c r="D40" s="66" t="s">
        <v>767</v>
      </c>
      <c r="E40" s="67" t="s">
        <v>40</v>
      </c>
      <c r="F40" s="66" t="s">
        <v>238</v>
      </c>
      <c r="G40" s="67" t="s">
        <v>257</v>
      </c>
      <c r="H40" s="66" t="s">
        <v>14</v>
      </c>
      <c r="I40" s="67" t="s">
        <v>768</v>
      </c>
      <c r="J40" s="66" t="s">
        <v>769</v>
      </c>
      <c r="K40" s="115" t="s">
        <v>230</v>
      </c>
      <c r="L40" s="79">
        <v>350</v>
      </c>
      <c r="M40" s="115" t="s">
        <v>217</v>
      </c>
      <c r="N40" s="79" t="s">
        <v>20</v>
      </c>
      <c r="O40" s="115" t="s">
        <v>40</v>
      </c>
    </row>
    <row r="41" spans="1:15" ht="23.25" thickBot="1">
      <c r="A41" s="13" t="s">
        <v>770</v>
      </c>
      <c r="B41" s="64" t="s">
        <v>766</v>
      </c>
      <c r="C41" s="67" t="s">
        <v>96</v>
      </c>
      <c r="D41" s="66" t="s">
        <v>604</v>
      </c>
      <c r="E41" s="67" t="s">
        <v>730</v>
      </c>
      <c r="F41" s="66" t="s">
        <v>238</v>
      </c>
      <c r="G41" s="67" t="s">
        <v>771</v>
      </c>
      <c r="H41" s="66" t="s">
        <v>10</v>
      </c>
      <c r="I41" s="67" t="s">
        <v>772</v>
      </c>
      <c r="J41" s="66" t="s">
        <v>769</v>
      </c>
      <c r="K41" s="115" t="s">
        <v>230</v>
      </c>
      <c r="L41" s="79">
        <v>1000</v>
      </c>
      <c r="M41" s="115" t="s">
        <v>217</v>
      </c>
      <c r="N41" s="79" t="s">
        <v>20</v>
      </c>
      <c r="O41" s="115" t="s">
        <v>604</v>
      </c>
    </row>
    <row r="42" spans="1:15" ht="23.25" thickBot="1">
      <c r="A42" s="13" t="s">
        <v>337</v>
      </c>
      <c r="B42" s="64" t="s">
        <v>766</v>
      </c>
      <c r="C42" s="67" t="s">
        <v>96</v>
      </c>
      <c r="D42" s="66" t="s">
        <v>767</v>
      </c>
      <c r="E42" s="67" t="s">
        <v>40</v>
      </c>
      <c r="F42" s="66" t="s">
        <v>238</v>
      </c>
      <c r="G42" s="67" t="s">
        <v>415</v>
      </c>
      <c r="H42" s="66" t="s">
        <v>14</v>
      </c>
      <c r="I42" s="67" t="s">
        <v>773</v>
      </c>
      <c r="J42" s="66" t="s">
        <v>769</v>
      </c>
      <c r="K42" s="115" t="s">
        <v>230</v>
      </c>
      <c r="L42" s="79">
        <v>650</v>
      </c>
      <c r="M42" s="115" t="s">
        <v>217</v>
      </c>
      <c r="N42" s="79" t="s">
        <v>20</v>
      </c>
      <c r="O42" s="115" t="s">
        <v>40</v>
      </c>
    </row>
    <row r="43" spans="1:15" ht="15.75" thickBot="1">
      <c r="A43" s="13" t="s">
        <v>107</v>
      </c>
      <c r="B43" s="64" t="s">
        <v>340</v>
      </c>
      <c r="C43" s="67" t="s">
        <v>108</v>
      </c>
      <c r="D43" s="66" t="s">
        <v>51</v>
      </c>
      <c r="E43" s="67" t="s">
        <v>40</v>
      </c>
      <c r="F43" s="66" t="s">
        <v>229</v>
      </c>
      <c r="G43" s="67" t="s">
        <v>248</v>
      </c>
      <c r="H43" s="66" t="s">
        <v>14</v>
      </c>
      <c r="I43" s="67" t="s">
        <v>621</v>
      </c>
      <c r="J43" s="66" t="s">
        <v>602</v>
      </c>
      <c r="K43" s="115" t="s">
        <v>229</v>
      </c>
      <c r="L43" s="79">
        <v>100</v>
      </c>
      <c r="M43" s="115" t="s">
        <v>217</v>
      </c>
      <c r="N43" s="79" t="s">
        <v>20</v>
      </c>
      <c r="O43" s="115" t="s">
        <v>40</v>
      </c>
    </row>
    <row r="44" spans="1:15" ht="15.75" thickBot="1">
      <c r="A44" s="13" t="s">
        <v>109</v>
      </c>
      <c r="B44" s="64" t="s">
        <v>109</v>
      </c>
      <c r="C44" s="67" t="s">
        <v>96</v>
      </c>
      <c r="D44" s="66" t="s">
        <v>39</v>
      </c>
      <c r="E44" s="67" t="s">
        <v>40</v>
      </c>
      <c r="F44" s="66" t="s">
        <v>229</v>
      </c>
      <c r="G44" s="67" t="s">
        <v>784</v>
      </c>
      <c r="H44" s="66" t="s">
        <v>14</v>
      </c>
      <c r="I44" s="67" t="s">
        <v>783</v>
      </c>
      <c r="J44" s="66" t="s">
        <v>655</v>
      </c>
      <c r="K44" s="115" t="s">
        <v>229</v>
      </c>
      <c r="L44" s="79">
        <v>57.75</v>
      </c>
      <c r="M44" s="115" t="s">
        <v>217</v>
      </c>
      <c r="N44" s="79" t="s">
        <v>20</v>
      </c>
      <c r="O44" s="115" t="s">
        <v>40</v>
      </c>
    </row>
    <row r="45" spans="1:15" ht="15.75" thickBot="1">
      <c r="A45" s="13" t="s">
        <v>341</v>
      </c>
      <c r="B45" s="64" t="s">
        <v>92</v>
      </c>
      <c r="C45" s="67" t="s">
        <v>126</v>
      </c>
      <c r="D45" s="66" t="s">
        <v>12</v>
      </c>
      <c r="E45" s="67" t="s">
        <v>13</v>
      </c>
      <c r="F45" s="66" t="s">
        <v>238</v>
      </c>
      <c r="G45" s="67" t="s">
        <v>342</v>
      </c>
      <c r="H45" s="66" t="s">
        <v>14</v>
      </c>
      <c r="I45" s="67" t="s">
        <v>260</v>
      </c>
      <c r="J45" s="66"/>
      <c r="K45" s="115" t="s">
        <v>230</v>
      </c>
      <c r="L45" s="79">
        <v>59</v>
      </c>
      <c r="M45" s="115" t="s">
        <v>217</v>
      </c>
      <c r="N45" s="79" t="s">
        <v>20</v>
      </c>
      <c r="O45" s="115" t="s">
        <v>13</v>
      </c>
    </row>
    <row r="46" spans="1:15" ht="15.75" thickBot="1">
      <c r="A46" s="13" t="s">
        <v>343</v>
      </c>
      <c r="B46" s="64" t="s">
        <v>747</v>
      </c>
      <c r="C46" s="67" t="s">
        <v>764</v>
      </c>
      <c r="D46" s="66" t="s">
        <v>51</v>
      </c>
      <c r="E46" s="67" t="s">
        <v>40</v>
      </c>
      <c r="F46" s="66" t="s">
        <v>229</v>
      </c>
      <c r="G46" s="67" t="s">
        <v>344</v>
      </c>
      <c r="H46" s="66" t="s">
        <v>219</v>
      </c>
      <c r="I46" s="67" t="s">
        <v>774</v>
      </c>
      <c r="J46" s="66"/>
      <c r="K46" s="115" t="s">
        <v>229</v>
      </c>
      <c r="L46" s="79">
        <v>18</v>
      </c>
      <c r="M46" s="115" t="s">
        <v>217</v>
      </c>
      <c r="N46" s="79" t="s">
        <v>20</v>
      </c>
      <c r="O46" s="115" t="s">
        <v>40</v>
      </c>
    </row>
    <row r="47" spans="1:15" ht="23.25" thickBot="1">
      <c r="A47" s="13" t="s">
        <v>778</v>
      </c>
      <c r="B47" s="64" t="s">
        <v>766</v>
      </c>
      <c r="C47" s="67" t="s">
        <v>96</v>
      </c>
      <c r="D47" s="66" t="s">
        <v>767</v>
      </c>
      <c r="E47" s="67" t="s">
        <v>40</v>
      </c>
      <c r="F47" s="66" t="s">
        <v>238</v>
      </c>
      <c r="G47" s="67" t="s">
        <v>779</v>
      </c>
      <c r="H47" s="66" t="s">
        <v>14</v>
      </c>
      <c r="I47" s="67"/>
      <c r="J47" s="66"/>
      <c r="K47" s="115" t="s">
        <v>230</v>
      </c>
      <c r="L47" s="79">
        <v>1000</v>
      </c>
      <c r="M47" s="115" t="s">
        <v>217</v>
      </c>
      <c r="N47" s="79" t="s">
        <v>20</v>
      </c>
      <c r="O47" s="115" t="s">
        <v>40</v>
      </c>
    </row>
    <row r="48" spans="1:15" ht="23.25" thickBot="1">
      <c r="A48" s="13" t="s">
        <v>780</v>
      </c>
      <c r="B48" s="64" t="s">
        <v>766</v>
      </c>
      <c r="C48" s="67" t="s">
        <v>96</v>
      </c>
      <c r="D48" s="66" t="s">
        <v>604</v>
      </c>
      <c r="E48" s="67" t="s">
        <v>730</v>
      </c>
      <c r="F48" s="66" t="s">
        <v>238</v>
      </c>
      <c r="G48" s="67" t="s">
        <v>771</v>
      </c>
      <c r="H48" s="66" t="s">
        <v>10</v>
      </c>
      <c r="I48" s="67"/>
      <c r="J48" s="66"/>
      <c r="K48" s="115" t="s">
        <v>230</v>
      </c>
      <c r="L48" s="79">
        <v>1000</v>
      </c>
      <c r="M48" s="115" t="s">
        <v>217</v>
      </c>
      <c r="N48" s="79" t="s">
        <v>20</v>
      </c>
      <c r="O48" s="115" t="s">
        <v>604</v>
      </c>
    </row>
    <row r="49" spans="1:15" ht="15.75" thickBot="1">
      <c r="A49" s="13" t="s">
        <v>345</v>
      </c>
      <c r="B49" s="64" t="s">
        <v>250</v>
      </c>
      <c r="C49" s="67" t="s">
        <v>96</v>
      </c>
      <c r="D49" s="66" t="s">
        <v>604</v>
      </c>
      <c r="E49" s="67" t="s">
        <v>730</v>
      </c>
      <c r="F49" s="66" t="s">
        <v>238</v>
      </c>
      <c r="G49" s="67" t="s">
        <v>248</v>
      </c>
      <c r="H49" s="66" t="s">
        <v>10</v>
      </c>
      <c r="I49" s="67" t="s">
        <v>628</v>
      </c>
      <c r="J49" s="66" t="s">
        <v>603</v>
      </c>
      <c r="K49" s="115" t="s">
        <v>230</v>
      </c>
      <c r="L49" s="79">
        <v>100</v>
      </c>
      <c r="M49" s="115" t="s">
        <v>217</v>
      </c>
      <c r="N49" s="79" t="s">
        <v>20</v>
      </c>
      <c r="O49" s="115" t="s">
        <v>604</v>
      </c>
    </row>
    <row r="50" spans="1:15" ht="15.75" thickBot="1">
      <c r="A50" s="13" t="s">
        <v>346</v>
      </c>
      <c r="B50" s="64" t="s">
        <v>250</v>
      </c>
      <c r="C50" s="67" t="s">
        <v>347</v>
      </c>
      <c r="D50" s="66" t="s">
        <v>12</v>
      </c>
      <c r="E50" s="67" t="s">
        <v>13</v>
      </c>
      <c r="F50" s="66" t="s">
        <v>238</v>
      </c>
      <c r="G50" s="67" t="s">
        <v>216</v>
      </c>
      <c r="H50" s="66" t="s">
        <v>14</v>
      </c>
      <c r="I50" s="67" t="s">
        <v>628</v>
      </c>
      <c r="J50" s="66" t="s">
        <v>603</v>
      </c>
      <c r="K50" s="115" t="s">
        <v>230</v>
      </c>
      <c r="L50" s="79">
        <v>0</v>
      </c>
      <c r="M50" s="115" t="s">
        <v>218</v>
      </c>
      <c r="N50" s="79" t="s">
        <v>20</v>
      </c>
      <c r="O50" s="115" t="s">
        <v>13</v>
      </c>
    </row>
    <row r="51" spans="1:15" ht="15.75" thickBot="1">
      <c r="A51" s="13" t="s">
        <v>348</v>
      </c>
      <c r="B51" s="64" t="s">
        <v>349</v>
      </c>
      <c r="C51" s="67" t="s">
        <v>96</v>
      </c>
      <c r="D51" s="66" t="s">
        <v>39</v>
      </c>
      <c r="E51" s="67" t="s">
        <v>40</v>
      </c>
      <c r="F51" s="66" t="s">
        <v>238</v>
      </c>
      <c r="G51" s="67" t="s">
        <v>249</v>
      </c>
      <c r="H51" s="66" t="s">
        <v>14</v>
      </c>
      <c r="I51" s="67" t="s">
        <v>628</v>
      </c>
      <c r="J51" s="66"/>
      <c r="K51" s="115" t="s">
        <v>230</v>
      </c>
      <c r="L51" s="79">
        <v>50</v>
      </c>
      <c r="M51" s="115" t="s">
        <v>217</v>
      </c>
      <c r="N51" s="79" t="s">
        <v>20</v>
      </c>
      <c r="O51" s="115" t="s">
        <v>40</v>
      </c>
    </row>
    <row r="52" spans="1:15" ht="15.75" thickBot="1">
      <c r="A52" s="13" t="s">
        <v>110</v>
      </c>
      <c r="B52" s="64" t="s">
        <v>350</v>
      </c>
      <c r="C52" s="67" t="s">
        <v>106</v>
      </c>
      <c r="D52" s="66" t="s">
        <v>51</v>
      </c>
      <c r="E52" s="67" t="s">
        <v>40</v>
      </c>
      <c r="F52" s="66" t="s">
        <v>239</v>
      </c>
      <c r="G52" s="67" t="s">
        <v>254</v>
      </c>
      <c r="H52" s="66" t="s">
        <v>14</v>
      </c>
      <c r="I52" s="67" t="s">
        <v>721</v>
      </c>
      <c r="J52" s="66" t="s">
        <v>723</v>
      </c>
      <c r="K52" s="115" t="s">
        <v>229</v>
      </c>
      <c r="L52" s="79">
        <v>15</v>
      </c>
      <c r="M52" s="115" t="s">
        <v>217</v>
      </c>
      <c r="N52" s="79" t="s">
        <v>20</v>
      </c>
      <c r="O52" s="115" t="s">
        <v>40</v>
      </c>
    </row>
    <row r="53" spans="1:15" ht="15.75" thickBot="1">
      <c r="A53" s="13" t="s">
        <v>111</v>
      </c>
      <c r="B53" s="64" t="s">
        <v>351</v>
      </c>
      <c r="C53" s="67" t="s">
        <v>96</v>
      </c>
      <c r="D53" s="66" t="s">
        <v>604</v>
      </c>
      <c r="E53" s="67" t="s">
        <v>730</v>
      </c>
      <c r="F53" s="66" t="s">
        <v>239</v>
      </c>
      <c r="G53" s="67" t="s">
        <v>685</v>
      </c>
      <c r="H53" s="66" t="s">
        <v>14</v>
      </c>
      <c r="I53" s="67" t="s">
        <v>721</v>
      </c>
      <c r="J53" s="66" t="s">
        <v>723</v>
      </c>
      <c r="K53" s="115" t="s">
        <v>229</v>
      </c>
      <c r="L53" s="79">
        <v>2</v>
      </c>
      <c r="M53" s="115" t="s">
        <v>217</v>
      </c>
      <c r="N53" s="79" t="s">
        <v>20</v>
      </c>
      <c r="O53" s="115" t="s">
        <v>604</v>
      </c>
    </row>
    <row r="54" spans="1:15" ht="15.75" thickBot="1">
      <c r="A54" s="13" t="s">
        <v>112</v>
      </c>
      <c r="B54" s="64" t="s">
        <v>350</v>
      </c>
      <c r="C54" s="67" t="s">
        <v>113</v>
      </c>
      <c r="D54" s="66" t="s">
        <v>12</v>
      </c>
      <c r="E54" s="67" t="s">
        <v>13</v>
      </c>
      <c r="F54" s="66" t="s">
        <v>239</v>
      </c>
      <c r="G54" s="67" t="s">
        <v>352</v>
      </c>
      <c r="H54" s="66" t="s">
        <v>14</v>
      </c>
      <c r="I54" s="67" t="s">
        <v>721</v>
      </c>
      <c r="J54" s="66" t="s">
        <v>723</v>
      </c>
      <c r="K54" s="115" t="s">
        <v>229</v>
      </c>
      <c r="L54" s="79">
        <v>43.2</v>
      </c>
      <c r="M54" s="115" t="s">
        <v>217</v>
      </c>
      <c r="N54" s="79" t="s">
        <v>20</v>
      </c>
      <c r="O54" s="115" t="s">
        <v>13</v>
      </c>
    </row>
    <row r="55" spans="1:15" ht="15.75" thickBot="1">
      <c r="A55" s="13" t="s">
        <v>584</v>
      </c>
      <c r="B55" s="64" t="s">
        <v>585</v>
      </c>
      <c r="C55" s="67" t="s">
        <v>96</v>
      </c>
      <c r="D55" s="66" t="s">
        <v>39</v>
      </c>
      <c r="E55" s="67" t="s">
        <v>40</v>
      </c>
      <c r="F55" s="66" t="s">
        <v>238</v>
      </c>
      <c r="G55" s="67" t="s">
        <v>415</v>
      </c>
      <c r="H55" s="66" t="s">
        <v>14</v>
      </c>
      <c r="I55" s="67" t="s">
        <v>628</v>
      </c>
      <c r="J55" s="66"/>
      <c r="K55" s="115" t="s">
        <v>230</v>
      </c>
      <c r="L55" s="79">
        <v>650</v>
      </c>
      <c r="M55" s="115" t="s">
        <v>217</v>
      </c>
      <c r="N55" s="79" t="s">
        <v>20</v>
      </c>
      <c r="O55" s="115" t="s">
        <v>40</v>
      </c>
    </row>
    <row r="56" spans="1:15" ht="15.75" thickBot="1">
      <c r="A56" s="13" t="s">
        <v>586</v>
      </c>
      <c r="B56" s="64" t="s">
        <v>585</v>
      </c>
      <c r="C56" s="67" t="s">
        <v>96</v>
      </c>
      <c r="D56" s="66" t="s">
        <v>12</v>
      </c>
      <c r="E56" s="67" t="s">
        <v>13</v>
      </c>
      <c r="F56" s="66" t="s">
        <v>238</v>
      </c>
      <c r="G56" s="67" t="s">
        <v>415</v>
      </c>
      <c r="H56" s="66" t="s">
        <v>14</v>
      </c>
      <c r="I56" s="67" t="s">
        <v>628</v>
      </c>
      <c r="J56" s="66"/>
      <c r="K56" s="115" t="s">
        <v>230</v>
      </c>
      <c r="L56" s="79">
        <v>650</v>
      </c>
      <c r="M56" s="115" t="s">
        <v>217</v>
      </c>
      <c r="N56" s="79" t="s">
        <v>20</v>
      </c>
      <c r="O56" s="115" t="s">
        <v>13</v>
      </c>
    </row>
    <row r="57" spans="1:15" ht="15.75" thickBot="1">
      <c r="A57" s="13" t="s">
        <v>353</v>
      </c>
      <c r="B57" s="64" t="s">
        <v>65</v>
      </c>
      <c r="C57" s="67" t="s">
        <v>354</v>
      </c>
      <c r="D57" s="66" t="s">
        <v>729</v>
      </c>
      <c r="E57" s="67" t="s">
        <v>25</v>
      </c>
      <c r="F57" s="66" t="s">
        <v>238</v>
      </c>
      <c r="G57" s="67" t="s">
        <v>259</v>
      </c>
      <c r="H57" s="66" t="s">
        <v>10</v>
      </c>
      <c r="I57" s="67" t="s">
        <v>628</v>
      </c>
      <c r="J57" s="66" t="s">
        <v>605</v>
      </c>
      <c r="K57" s="115" t="s">
        <v>230</v>
      </c>
      <c r="L57" s="79">
        <v>250</v>
      </c>
      <c r="M57" s="115" t="s">
        <v>217</v>
      </c>
      <c r="N57" s="79" t="s">
        <v>20</v>
      </c>
      <c r="O57" s="115" t="s">
        <v>25</v>
      </c>
    </row>
    <row r="58" spans="1:15" ht="15.75" thickBot="1">
      <c r="A58" s="13" t="s">
        <v>355</v>
      </c>
      <c r="B58" s="64" t="s">
        <v>65</v>
      </c>
      <c r="C58" s="67" t="s">
        <v>356</v>
      </c>
      <c r="D58" s="66" t="s">
        <v>39</v>
      </c>
      <c r="E58" s="67" t="s">
        <v>40</v>
      </c>
      <c r="F58" s="66" t="s">
        <v>238</v>
      </c>
      <c r="G58" s="67" t="s">
        <v>357</v>
      </c>
      <c r="H58" s="66" t="s">
        <v>14</v>
      </c>
      <c r="I58" s="67" t="s">
        <v>628</v>
      </c>
      <c r="J58" s="66" t="s">
        <v>606</v>
      </c>
      <c r="K58" s="115" t="s">
        <v>230</v>
      </c>
      <c r="L58" s="79">
        <v>270</v>
      </c>
      <c r="M58" s="115" t="s">
        <v>217</v>
      </c>
      <c r="N58" s="79" t="s">
        <v>20</v>
      </c>
      <c r="O58" s="115" t="s">
        <v>40</v>
      </c>
    </row>
    <row r="59" spans="1:15" ht="15.75" thickBot="1">
      <c r="A59" s="13" t="s">
        <v>358</v>
      </c>
      <c r="B59" s="64" t="s">
        <v>65</v>
      </c>
      <c r="C59" s="67" t="s">
        <v>359</v>
      </c>
      <c r="D59" s="66" t="s">
        <v>12</v>
      </c>
      <c r="E59" s="67" t="s">
        <v>13</v>
      </c>
      <c r="F59" s="66" t="s">
        <v>238</v>
      </c>
      <c r="G59" s="67" t="s">
        <v>247</v>
      </c>
      <c r="H59" s="66" t="s">
        <v>14</v>
      </c>
      <c r="I59" s="67" t="s">
        <v>628</v>
      </c>
      <c r="J59" s="66" t="s">
        <v>607</v>
      </c>
      <c r="K59" s="115" t="s">
        <v>230</v>
      </c>
      <c r="L59" s="79">
        <v>150</v>
      </c>
      <c r="M59" s="115" t="s">
        <v>217</v>
      </c>
      <c r="N59" s="79" t="s">
        <v>20</v>
      </c>
      <c r="O59" s="115" t="s">
        <v>13</v>
      </c>
    </row>
    <row r="60" spans="1:15" ht="15.75" thickBot="1">
      <c r="A60" s="13" t="s">
        <v>360</v>
      </c>
      <c r="B60" s="64" t="s">
        <v>361</v>
      </c>
      <c r="C60" s="67" t="s">
        <v>587</v>
      </c>
      <c r="D60" s="66" t="s">
        <v>51</v>
      </c>
      <c r="E60" s="67" t="s">
        <v>40</v>
      </c>
      <c r="F60" s="66" t="s">
        <v>238</v>
      </c>
      <c r="G60" s="67" t="s">
        <v>216</v>
      </c>
      <c r="H60" s="66" t="s">
        <v>14</v>
      </c>
      <c r="I60" s="67" t="s">
        <v>628</v>
      </c>
      <c r="J60" s="66" t="s">
        <v>608</v>
      </c>
      <c r="K60" s="115" t="s">
        <v>230</v>
      </c>
      <c r="L60" s="79">
        <v>0</v>
      </c>
      <c r="M60" s="115" t="s">
        <v>218</v>
      </c>
      <c r="N60" s="79" t="s">
        <v>20</v>
      </c>
      <c r="O60" s="115" t="s">
        <v>40</v>
      </c>
    </row>
    <row r="61" spans="1:15" ht="15.75" thickBot="1">
      <c r="A61" s="13" t="s">
        <v>362</v>
      </c>
      <c r="B61" s="64" t="s">
        <v>262</v>
      </c>
      <c r="C61" s="67" t="s">
        <v>121</v>
      </c>
      <c r="D61" s="66" t="s">
        <v>39</v>
      </c>
      <c r="E61" s="67" t="s">
        <v>40</v>
      </c>
      <c r="F61" s="66" t="s">
        <v>238</v>
      </c>
      <c r="G61" s="67" t="s">
        <v>263</v>
      </c>
      <c r="H61" s="66" t="s">
        <v>14</v>
      </c>
      <c r="I61" s="67" t="s">
        <v>628</v>
      </c>
      <c r="J61" s="66"/>
      <c r="K61" s="115" t="s">
        <v>230</v>
      </c>
      <c r="L61" s="79">
        <v>55</v>
      </c>
      <c r="M61" s="115" t="s">
        <v>217</v>
      </c>
      <c r="N61" s="79" t="s">
        <v>20</v>
      </c>
      <c r="O61" s="115" t="s">
        <v>40</v>
      </c>
    </row>
    <row r="62" spans="1:15" ht="15.75" thickBot="1">
      <c r="A62" s="13" t="s">
        <v>365</v>
      </c>
      <c r="B62" s="64" t="s">
        <v>366</v>
      </c>
      <c r="C62" s="67" t="s">
        <v>96</v>
      </c>
      <c r="D62" s="66" t="s">
        <v>39</v>
      </c>
      <c r="E62" s="67" t="s">
        <v>40</v>
      </c>
      <c r="F62" s="66" t="s">
        <v>238</v>
      </c>
      <c r="G62" s="67" t="s">
        <v>367</v>
      </c>
      <c r="H62" s="66" t="s">
        <v>219</v>
      </c>
      <c r="I62" s="67" t="s">
        <v>628</v>
      </c>
      <c r="J62" s="66"/>
      <c r="K62" s="115" t="s">
        <v>230</v>
      </c>
      <c r="L62" s="79">
        <v>20</v>
      </c>
      <c r="M62" s="115" t="s">
        <v>217</v>
      </c>
      <c r="N62" s="79" t="s">
        <v>20</v>
      </c>
      <c r="O62" s="115" t="s">
        <v>40</v>
      </c>
    </row>
    <row r="63" spans="1:15" ht="15.75" thickBot="1">
      <c r="A63" s="13" t="s">
        <v>368</v>
      </c>
      <c r="B63" s="64" t="s">
        <v>369</v>
      </c>
      <c r="C63" s="67" t="s">
        <v>96</v>
      </c>
      <c r="D63" s="66" t="s">
        <v>12</v>
      </c>
      <c r="E63" s="67" t="s">
        <v>13</v>
      </c>
      <c r="F63" s="66" t="s">
        <v>238</v>
      </c>
      <c r="G63" s="67" t="s">
        <v>370</v>
      </c>
      <c r="H63" s="66" t="s">
        <v>14</v>
      </c>
      <c r="I63" s="67" t="s">
        <v>628</v>
      </c>
      <c r="J63" s="66"/>
      <c r="K63" s="115" t="s">
        <v>230</v>
      </c>
      <c r="L63" s="79">
        <v>104.4</v>
      </c>
      <c r="M63" s="115" t="s">
        <v>217</v>
      </c>
      <c r="N63" s="79" t="s">
        <v>20</v>
      </c>
      <c r="O63" s="115" t="s">
        <v>13</v>
      </c>
    </row>
    <row r="64" spans="1:15" ht="15.75" thickBot="1">
      <c r="A64" s="13" t="s">
        <v>114</v>
      </c>
      <c r="B64" s="64" t="s">
        <v>371</v>
      </c>
      <c r="C64" s="67" t="s">
        <v>115</v>
      </c>
      <c r="D64" s="66" t="s">
        <v>51</v>
      </c>
      <c r="E64" s="67" t="s">
        <v>40</v>
      </c>
      <c r="F64" s="66" t="s">
        <v>229</v>
      </c>
      <c r="G64" s="67" t="s">
        <v>248</v>
      </c>
      <c r="H64" s="66" t="s">
        <v>14</v>
      </c>
      <c r="I64" s="67" t="s">
        <v>251</v>
      </c>
      <c r="J64" s="66" t="s">
        <v>609</v>
      </c>
      <c r="K64" s="115" t="s">
        <v>229</v>
      </c>
      <c r="L64" s="79">
        <v>100</v>
      </c>
      <c r="M64" s="115" t="s">
        <v>217</v>
      </c>
      <c r="N64" s="79" t="s">
        <v>20</v>
      </c>
      <c r="O64" s="115" t="s">
        <v>40</v>
      </c>
    </row>
    <row r="65" spans="1:15" ht="15.75" thickBot="1">
      <c r="A65" s="13" t="s">
        <v>760</v>
      </c>
      <c r="B65" s="64" t="s">
        <v>372</v>
      </c>
      <c r="C65" s="67" t="s">
        <v>96</v>
      </c>
      <c r="D65" s="66" t="s">
        <v>15</v>
      </c>
      <c r="E65" s="67" t="s">
        <v>16</v>
      </c>
      <c r="F65" s="66" t="s">
        <v>654</v>
      </c>
      <c r="G65" s="67" t="s">
        <v>761</v>
      </c>
      <c r="H65" s="66" t="s">
        <v>10</v>
      </c>
      <c r="I65" s="67" t="s">
        <v>264</v>
      </c>
      <c r="J65" s="66"/>
      <c r="K65" s="115" t="s">
        <v>230</v>
      </c>
      <c r="L65" s="79">
        <v>132</v>
      </c>
      <c r="M65" s="115" t="s">
        <v>217</v>
      </c>
      <c r="N65" s="79" t="s">
        <v>20</v>
      </c>
      <c r="O65" s="115" t="s">
        <v>15</v>
      </c>
    </row>
    <row r="66" spans="1:15" ht="15.75" thickBot="1">
      <c r="A66" s="13" t="s">
        <v>374</v>
      </c>
      <c r="B66" s="64" t="s">
        <v>375</v>
      </c>
      <c r="C66" s="67" t="s">
        <v>124</v>
      </c>
      <c r="D66" s="66" t="s">
        <v>39</v>
      </c>
      <c r="E66" s="67" t="s">
        <v>40</v>
      </c>
      <c r="F66" s="66" t="s">
        <v>243</v>
      </c>
      <c r="G66" s="67" t="s">
        <v>376</v>
      </c>
      <c r="H66" s="66" t="s">
        <v>219</v>
      </c>
      <c r="I66" s="67" t="s">
        <v>331</v>
      </c>
      <c r="J66" s="66"/>
      <c r="K66" s="115" t="s">
        <v>230</v>
      </c>
      <c r="L66" s="79">
        <v>0.19872000000000001</v>
      </c>
      <c r="M66" s="115" t="s">
        <v>217</v>
      </c>
      <c r="N66" s="79" t="s">
        <v>20</v>
      </c>
      <c r="O66" s="115" t="s">
        <v>40</v>
      </c>
    </row>
    <row r="67" spans="1:15" ht="15.75" thickBot="1">
      <c r="A67" s="13" t="s">
        <v>377</v>
      </c>
      <c r="B67" s="64" t="s">
        <v>269</v>
      </c>
      <c r="C67" s="67" t="s">
        <v>378</v>
      </c>
      <c r="D67" s="66" t="s">
        <v>216</v>
      </c>
      <c r="E67" s="67" t="s">
        <v>216</v>
      </c>
      <c r="F67" s="66" t="s">
        <v>238</v>
      </c>
      <c r="G67" s="67" t="s">
        <v>216</v>
      </c>
      <c r="H67" s="66" t="s">
        <v>14</v>
      </c>
      <c r="I67" s="67" t="s">
        <v>628</v>
      </c>
      <c r="J67" s="66" t="s">
        <v>623</v>
      </c>
      <c r="K67" s="115" t="s">
        <v>230</v>
      </c>
      <c r="L67" s="79">
        <v>0</v>
      </c>
      <c r="M67" s="115" t="s">
        <v>218</v>
      </c>
      <c r="N67" s="79" t="s">
        <v>20</v>
      </c>
      <c r="O67" s="115" t="s">
        <v>13</v>
      </c>
    </row>
    <row r="68" spans="1:15" ht="15.75" thickBot="1">
      <c r="A68" s="13" t="s">
        <v>379</v>
      </c>
      <c r="B68" s="64" t="s">
        <v>265</v>
      </c>
      <c r="C68" s="67" t="s">
        <v>121</v>
      </c>
      <c r="D68" s="66" t="s">
        <v>51</v>
      </c>
      <c r="E68" s="67" t="s">
        <v>40</v>
      </c>
      <c r="F68" s="66" t="s">
        <v>238</v>
      </c>
      <c r="G68" s="67" t="s">
        <v>380</v>
      </c>
      <c r="H68" s="66" t="s">
        <v>14</v>
      </c>
      <c r="I68" s="67" t="s">
        <v>628</v>
      </c>
      <c r="J68" s="66" t="s">
        <v>610</v>
      </c>
      <c r="K68" s="115" t="s">
        <v>230</v>
      </c>
      <c r="L68" s="79">
        <v>26</v>
      </c>
      <c r="M68" s="115" t="s">
        <v>217</v>
      </c>
      <c r="N68" s="79" t="s">
        <v>20</v>
      </c>
      <c r="O68" s="115" t="s">
        <v>40</v>
      </c>
    </row>
    <row r="69" spans="1:15" ht="15.75" thickBot="1">
      <c r="A69" s="13" t="s">
        <v>381</v>
      </c>
      <c r="B69" s="64" t="s">
        <v>245</v>
      </c>
      <c r="C69" s="67" t="s">
        <v>246</v>
      </c>
      <c r="D69" s="66" t="s">
        <v>39</v>
      </c>
      <c r="E69" s="67" t="s">
        <v>40</v>
      </c>
      <c r="F69" s="66" t="s">
        <v>238</v>
      </c>
      <c r="G69" s="67" t="s">
        <v>257</v>
      </c>
      <c r="H69" s="66" t="s">
        <v>14</v>
      </c>
      <c r="I69" s="67" t="s">
        <v>628</v>
      </c>
      <c r="J69" s="66"/>
      <c r="K69" s="115" t="s">
        <v>230</v>
      </c>
      <c r="L69" s="79">
        <v>350</v>
      </c>
      <c r="M69" s="115" t="s">
        <v>217</v>
      </c>
      <c r="N69" s="79" t="s">
        <v>20</v>
      </c>
      <c r="O69" s="115" t="s">
        <v>40</v>
      </c>
    </row>
    <row r="70" spans="1:15" ht="15.75" thickBot="1">
      <c r="A70" s="13" t="s">
        <v>382</v>
      </c>
      <c r="B70" s="64" t="s">
        <v>262</v>
      </c>
      <c r="C70" s="67" t="s">
        <v>121</v>
      </c>
      <c r="D70" s="66" t="s">
        <v>39</v>
      </c>
      <c r="E70" s="67" t="s">
        <v>40</v>
      </c>
      <c r="F70" s="66" t="s">
        <v>238</v>
      </c>
      <c r="G70" s="67" t="s">
        <v>267</v>
      </c>
      <c r="H70" s="66" t="s">
        <v>14</v>
      </c>
      <c r="I70" s="67" t="s">
        <v>628</v>
      </c>
      <c r="J70" s="66"/>
      <c r="K70" s="115" t="s">
        <v>230</v>
      </c>
      <c r="L70" s="79">
        <v>60</v>
      </c>
      <c r="M70" s="115" t="s">
        <v>217</v>
      </c>
      <c r="N70" s="79" t="s">
        <v>20</v>
      </c>
      <c r="O70" s="115" t="s">
        <v>40</v>
      </c>
    </row>
    <row r="71" spans="1:15" ht="15.75" thickBot="1">
      <c r="A71" s="13" t="s">
        <v>116</v>
      </c>
      <c r="B71" s="64" t="s">
        <v>92</v>
      </c>
      <c r="C71" s="67" t="s">
        <v>117</v>
      </c>
      <c r="D71" s="66" t="s">
        <v>12</v>
      </c>
      <c r="E71" s="67" t="s">
        <v>13</v>
      </c>
      <c r="F71" s="66" t="s">
        <v>229</v>
      </c>
      <c r="G71" s="67" t="s">
        <v>383</v>
      </c>
      <c r="H71" s="66" t="s">
        <v>14</v>
      </c>
      <c r="I71" s="67" t="s">
        <v>251</v>
      </c>
      <c r="J71" s="66"/>
      <c r="K71" s="115" t="s">
        <v>229</v>
      </c>
      <c r="L71" s="79">
        <v>180.5</v>
      </c>
      <c r="M71" s="115" t="s">
        <v>217</v>
      </c>
      <c r="N71" s="79" t="s">
        <v>20</v>
      </c>
      <c r="O71" s="115" t="s">
        <v>13</v>
      </c>
    </row>
    <row r="72" spans="1:15" ht="15.75" thickBot="1">
      <c r="A72" s="13" t="s">
        <v>384</v>
      </c>
      <c r="B72" s="64" t="s">
        <v>385</v>
      </c>
      <c r="C72" s="67" t="s">
        <v>96</v>
      </c>
      <c r="D72" s="66" t="s">
        <v>28</v>
      </c>
      <c r="E72" s="67" t="s">
        <v>386</v>
      </c>
      <c r="F72" s="66" t="s">
        <v>238</v>
      </c>
      <c r="G72" s="67" t="s">
        <v>387</v>
      </c>
      <c r="H72" s="66" t="s">
        <v>10</v>
      </c>
      <c r="I72" s="67" t="s">
        <v>628</v>
      </c>
      <c r="J72" s="66"/>
      <c r="K72" s="115" t="s">
        <v>230</v>
      </c>
      <c r="L72" s="79">
        <v>7.6</v>
      </c>
      <c r="M72" s="115" t="s">
        <v>217</v>
      </c>
      <c r="N72" s="79" t="s">
        <v>20</v>
      </c>
      <c r="O72" s="115" t="s">
        <v>225</v>
      </c>
    </row>
    <row r="73" spans="1:15" ht="15.75" thickBot="1">
      <c r="A73" s="13" t="s">
        <v>686</v>
      </c>
      <c r="B73" s="64" t="s">
        <v>687</v>
      </c>
      <c r="C73" s="67" t="s">
        <v>216</v>
      </c>
      <c r="D73" s="66" t="s">
        <v>39</v>
      </c>
      <c r="E73" s="67" t="s">
        <v>40</v>
      </c>
      <c r="F73" s="66" t="s">
        <v>238</v>
      </c>
      <c r="G73" s="67" t="s">
        <v>242</v>
      </c>
      <c r="H73" s="66" t="s">
        <v>14</v>
      </c>
      <c r="I73" s="67"/>
      <c r="J73" s="66" t="s">
        <v>688</v>
      </c>
      <c r="K73" s="115" t="s">
        <v>230</v>
      </c>
      <c r="L73" s="79">
        <v>120</v>
      </c>
      <c r="M73" s="115" t="s">
        <v>217</v>
      </c>
      <c r="N73" s="79" t="s">
        <v>20</v>
      </c>
      <c r="O73" s="115" t="s">
        <v>40</v>
      </c>
    </row>
    <row r="74" spans="1:15" ht="15.75" thickBot="1">
      <c r="A74" s="13" t="s">
        <v>388</v>
      </c>
      <c r="B74" s="64" t="s">
        <v>389</v>
      </c>
      <c r="C74" s="67" t="s">
        <v>390</v>
      </c>
      <c r="D74" s="66" t="s">
        <v>28</v>
      </c>
      <c r="E74" s="67" t="s">
        <v>137</v>
      </c>
      <c r="F74" s="66" t="s">
        <v>243</v>
      </c>
      <c r="G74" s="67" t="s">
        <v>391</v>
      </c>
      <c r="H74" s="66" t="s">
        <v>10</v>
      </c>
      <c r="I74" s="67" t="s">
        <v>252</v>
      </c>
      <c r="J74" s="66" t="s">
        <v>611</v>
      </c>
      <c r="K74" s="115" t="s">
        <v>230</v>
      </c>
      <c r="L74" s="79">
        <v>150</v>
      </c>
      <c r="M74" s="115" t="s">
        <v>217</v>
      </c>
      <c r="N74" s="79" t="s">
        <v>20</v>
      </c>
      <c r="O74" s="115" t="s">
        <v>225</v>
      </c>
    </row>
    <row r="75" spans="1:15" ht="15.75" thickBot="1">
      <c r="A75" s="13" t="s">
        <v>392</v>
      </c>
      <c r="B75" s="64" t="s">
        <v>393</v>
      </c>
      <c r="C75" s="67" t="s">
        <v>96</v>
      </c>
      <c r="D75" s="66" t="s">
        <v>39</v>
      </c>
      <c r="E75" s="67" t="s">
        <v>40</v>
      </c>
      <c r="F75" s="66" t="s">
        <v>238</v>
      </c>
      <c r="G75" s="67" t="s">
        <v>249</v>
      </c>
      <c r="H75" s="66" t="s">
        <v>14</v>
      </c>
      <c r="I75" s="67" t="s">
        <v>628</v>
      </c>
      <c r="J75" s="66"/>
      <c r="K75" s="115" t="s">
        <v>230</v>
      </c>
      <c r="L75" s="79">
        <v>50</v>
      </c>
      <c r="M75" s="115" t="s">
        <v>217</v>
      </c>
      <c r="N75" s="79" t="s">
        <v>20</v>
      </c>
      <c r="O75" s="115" t="s">
        <v>40</v>
      </c>
    </row>
    <row r="76" spans="1:15" ht="15.75" thickBot="1">
      <c r="A76" s="13" t="s">
        <v>118</v>
      </c>
      <c r="B76" s="64" t="s">
        <v>394</v>
      </c>
      <c r="C76" s="67" t="s">
        <v>119</v>
      </c>
      <c r="D76" s="66" t="s">
        <v>39</v>
      </c>
      <c r="E76" s="67" t="s">
        <v>40</v>
      </c>
      <c r="F76" s="66" t="s">
        <v>229</v>
      </c>
      <c r="G76" s="67" t="s">
        <v>263</v>
      </c>
      <c r="H76" s="66" t="s">
        <v>14</v>
      </c>
      <c r="I76" s="67" t="s">
        <v>722</v>
      </c>
      <c r="J76" s="66"/>
      <c r="K76" s="115" t="s">
        <v>229</v>
      </c>
      <c r="L76" s="79">
        <v>55</v>
      </c>
      <c r="M76" s="115" t="s">
        <v>217</v>
      </c>
      <c r="N76" s="79" t="s">
        <v>20</v>
      </c>
      <c r="O76" s="115" t="s">
        <v>40</v>
      </c>
    </row>
    <row r="77" spans="1:15" ht="15.75" thickBot="1">
      <c r="A77" s="13" t="s">
        <v>120</v>
      </c>
      <c r="B77" s="64" t="s">
        <v>755</v>
      </c>
      <c r="C77" s="67" t="s">
        <v>96</v>
      </c>
      <c r="D77" s="66" t="s">
        <v>39</v>
      </c>
      <c r="E77" s="67" t="s">
        <v>40</v>
      </c>
      <c r="F77" s="66" t="s">
        <v>239</v>
      </c>
      <c r="G77" s="67" t="s">
        <v>258</v>
      </c>
      <c r="H77" s="66" t="s">
        <v>14</v>
      </c>
      <c r="I77" s="67" t="s">
        <v>722</v>
      </c>
      <c r="J77" s="66"/>
      <c r="K77" s="115" t="s">
        <v>229</v>
      </c>
      <c r="L77" s="79">
        <v>25</v>
      </c>
      <c r="M77" s="115" t="s">
        <v>217</v>
      </c>
      <c r="N77" s="79" t="s">
        <v>20</v>
      </c>
      <c r="O77" s="115" t="s">
        <v>40</v>
      </c>
    </row>
    <row r="78" spans="1:15" ht="15.75" thickBot="1">
      <c r="A78" s="13" t="s">
        <v>588</v>
      </c>
      <c r="B78" s="64" t="s">
        <v>284</v>
      </c>
      <c r="C78" s="67" t="s">
        <v>656</v>
      </c>
      <c r="D78" s="66" t="s">
        <v>216</v>
      </c>
      <c r="E78" s="67" t="s">
        <v>40</v>
      </c>
      <c r="F78" s="66" t="s">
        <v>238</v>
      </c>
      <c r="G78" s="67" t="s">
        <v>657</v>
      </c>
      <c r="H78" s="66" t="s">
        <v>14</v>
      </c>
      <c r="I78" s="67" t="s">
        <v>628</v>
      </c>
      <c r="J78" s="66"/>
      <c r="K78" s="115" t="s">
        <v>230</v>
      </c>
      <c r="L78" s="79">
        <v>240</v>
      </c>
      <c r="M78" s="115" t="s">
        <v>217</v>
      </c>
      <c r="N78" s="79" t="s">
        <v>20</v>
      </c>
      <c r="O78" s="115" t="s">
        <v>40</v>
      </c>
    </row>
    <row r="79" spans="1:15" ht="15.75" thickBot="1">
      <c r="A79" s="13" t="s">
        <v>395</v>
      </c>
      <c r="B79" s="64" t="s">
        <v>241</v>
      </c>
      <c r="C79" s="67" t="s">
        <v>96</v>
      </c>
      <c r="D79" s="66" t="s">
        <v>51</v>
      </c>
      <c r="E79" s="67" t="s">
        <v>40</v>
      </c>
      <c r="F79" s="66" t="s">
        <v>238</v>
      </c>
      <c r="G79" s="67" t="s">
        <v>255</v>
      </c>
      <c r="H79" s="66" t="s">
        <v>219</v>
      </c>
      <c r="I79" s="67" t="s">
        <v>628</v>
      </c>
      <c r="J79" s="66"/>
      <c r="K79" s="115" t="s">
        <v>230</v>
      </c>
      <c r="L79" s="79">
        <v>300</v>
      </c>
      <c r="M79" s="115" t="s">
        <v>217</v>
      </c>
      <c r="N79" s="79" t="s">
        <v>20</v>
      </c>
      <c r="O79" s="115" t="s">
        <v>40</v>
      </c>
    </row>
    <row r="80" spans="1:15" ht="15.75" thickBot="1">
      <c r="A80" s="13" t="s">
        <v>637</v>
      </c>
      <c r="B80" s="64" t="s">
        <v>638</v>
      </c>
      <c r="C80" s="67" t="s">
        <v>216</v>
      </c>
      <c r="D80" s="66" t="s">
        <v>39</v>
      </c>
      <c r="E80" s="67" t="s">
        <v>40</v>
      </c>
      <c r="F80" s="66" t="s">
        <v>238</v>
      </c>
      <c r="G80" s="67" t="s">
        <v>253</v>
      </c>
      <c r="H80" s="66" t="s">
        <v>14</v>
      </c>
      <c r="I80" s="67" t="s">
        <v>628</v>
      </c>
      <c r="J80" s="66" t="s">
        <v>639</v>
      </c>
      <c r="K80" s="115" t="s">
        <v>230</v>
      </c>
      <c r="L80" s="79">
        <v>90</v>
      </c>
      <c r="M80" s="115" t="s">
        <v>217</v>
      </c>
      <c r="N80" s="79" t="s">
        <v>20</v>
      </c>
      <c r="O80" s="115" t="s">
        <v>40</v>
      </c>
    </row>
    <row r="81" spans="1:15" ht="15.75" thickBot="1">
      <c r="A81" s="13" t="s">
        <v>396</v>
      </c>
      <c r="B81" s="64" t="s">
        <v>262</v>
      </c>
      <c r="C81" s="67" t="s">
        <v>121</v>
      </c>
      <c r="D81" s="66" t="s">
        <v>39</v>
      </c>
      <c r="E81" s="67" t="s">
        <v>40</v>
      </c>
      <c r="F81" s="66" t="s">
        <v>238</v>
      </c>
      <c r="G81" s="67" t="s">
        <v>256</v>
      </c>
      <c r="H81" s="66" t="s">
        <v>14</v>
      </c>
      <c r="I81" s="67" t="s">
        <v>628</v>
      </c>
      <c r="J81" s="66"/>
      <c r="K81" s="115" t="s">
        <v>230</v>
      </c>
      <c r="L81" s="79">
        <v>110</v>
      </c>
      <c r="M81" s="115" t="s">
        <v>217</v>
      </c>
      <c r="N81" s="79" t="s">
        <v>20</v>
      </c>
      <c r="O81" s="115" t="s">
        <v>40</v>
      </c>
    </row>
    <row r="82" spans="1:15" ht="15.75" thickBot="1">
      <c r="A82" s="13" t="s">
        <v>398</v>
      </c>
      <c r="B82" s="64" t="s">
        <v>399</v>
      </c>
      <c r="C82" s="67" t="s">
        <v>96</v>
      </c>
      <c r="D82" s="66" t="s">
        <v>51</v>
      </c>
      <c r="E82" s="67" t="s">
        <v>40</v>
      </c>
      <c r="F82" s="66" t="s">
        <v>239</v>
      </c>
      <c r="G82" s="67" t="s">
        <v>400</v>
      </c>
      <c r="H82" s="66" t="s">
        <v>14</v>
      </c>
      <c r="I82" s="67" t="s">
        <v>722</v>
      </c>
      <c r="J82" s="66" t="s">
        <v>717</v>
      </c>
      <c r="K82" s="115" t="s">
        <v>229</v>
      </c>
      <c r="L82" s="79">
        <v>65</v>
      </c>
      <c r="M82" s="115" t="s">
        <v>217</v>
      </c>
      <c r="N82" s="79" t="s">
        <v>20</v>
      </c>
      <c r="O82" s="115" t="s">
        <v>40</v>
      </c>
    </row>
    <row r="83" spans="1:15" ht="15.75" thickBot="1">
      <c r="A83" s="13" t="s">
        <v>589</v>
      </c>
      <c r="B83" s="64" t="s">
        <v>166</v>
      </c>
      <c r="C83" s="67" t="s">
        <v>658</v>
      </c>
      <c r="D83" s="66" t="s">
        <v>28</v>
      </c>
      <c r="E83" s="67" t="s">
        <v>137</v>
      </c>
      <c r="F83" s="66" t="s">
        <v>238</v>
      </c>
      <c r="G83" s="67" t="s">
        <v>659</v>
      </c>
      <c r="H83" s="66" t="s">
        <v>219</v>
      </c>
      <c r="I83" s="67" t="s">
        <v>628</v>
      </c>
      <c r="J83" s="66"/>
      <c r="K83" s="115" t="s">
        <v>230</v>
      </c>
      <c r="L83" s="79">
        <v>32</v>
      </c>
      <c r="M83" s="115" t="s">
        <v>217</v>
      </c>
      <c r="N83" s="79" t="s">
        <v>20</v>
      </c>
      <c r="O83" s="115" t="s">
        <v>225</v>
      </c>
    </row>
    <row r="84" spans="1:15" ht="15.75" thickBot="1">
      <c r="A84" s="13" t="s">
        <v>402</v>
      </c>
      <c r="B84" s="64" t="s">
        <v>403</v>
      </c>
      <c r="C84" s="67" t="s">
        <v>96</v>
      </c>
      <c r="D84" s="66" t="s">
        <v>51</v>
      </c>
      <c r="E84" s="67" t="s">
        <v>40</v>
      </c>
      <c r="F84" s="66" t="s">
        <v>239</v>
      </c>
      <c r="G84" s="67" t="s">
        <v>123</v>
      </c>
      <c r="H84" s="66" t="s">
        <v>14</v>
      </c>
      <c r="I84" s="67" t="s">
        <v>620</v>
      </c>
      <c r="J84" s="66"/>
      <c r="K84" s="115" t="s">
        <v>229</v>
      </c>
      <c r="L84" s="79">
        <v>75</v>
      </c>
      <c r="M84" s="115" t="s">
        <v>217</v>
      </c>
      <c r="N84" s="79" t="s">
        <v>20</v>
      </c>
      <c r="O84" s="115" t="s">
        <v>40</v>
      </c>
    </row>
    <row r="85" spans="1:15" ht="15.75" thickBot="1">
      <c r="A85" s="13" t="s">
        <v>404</v>
      </c>
      <c r="B85" s="64" t="s">
        <v>166</v>
      </c>
      <c r="C85" s="67" t="s">
        <v>97</v>
      </c>
      <c r="D85" s="66" t="s">
        <v>28</v>
      </c>
      <c r="E85" s="67" t="s">
        <v>137</v>
      </c>
      <c r="F85" s="66" t="s">
        <v>239</v>
      </c>
      <c r="G85" s="67" t="s">
        <v>405</v>
      </c>
      <c r="H85" s="66" t="s">
        <v>219</v>
      </c>
      <c r="I85" s="67" t="s">
        <v>251</v>
      </c>
      <c r="J85" s="66" t="s">
        <v>612</v>
      </c>
      <c r="K85" s="115" t="s">
        <v>229</v>
      </c>
      <c r="L85" s="79">
        <v>24</v>
      </c>
      <c r="M85" s="115" t="s">
        <v>217</v>
      </c>
      <c r="N85" s="79" t="s">
        <v>20</v>
      </c>
      <c r="O85" s="115" t="s">
        <v>225</v>
      </c>
    </row>
    <row r="86" spans="1:15" ht="15.75" thickBot="1">
      <c r="A86" s="13" t="s">
        <v>406</v>
      </c>
      <c r="B86" s="64" t="s">
        <v>407</v>
      </c>
      <c r="C86" s="67" t="s">
        <v>408</v>
      </c>
      <c r="D86" s="66" t="s">
        <v>39</v>
      </c>
      <c r="E86" s="67" t="s">
        <v>40</v>
      </c>
      <c r="F86" s="66" t="s">
        <v>239</v>
      </c>
      <c r="G86" s="67" t="s">
        <v>409</v>
      </c>
      <c r="H86" s="66" t="s">
        <v>14</v>
      </c>
      <c r="I86" s="67" t="s">
        <v>410</v>
      </c>
      <c r="J86" s="66" t="s">
        <v>613</v>
      </c>
      <c r="K86" s="115" t="s">
        <v>229</v>
      </c>
      <c r="L86" s="79">
        <v>52.5</v>
      </c>
      <c r="M86" s="115" t="s">
        <v>217</v>
      </c>
      <c r="N86" s="79" t="s">
        <v>20</v>
      </c>
      <c r="O86" s="115" t="s">
        <v>40</v>
      </c>
    </row>
    <row r="87" spans="1:15" ht="15.75" thickBot="1">
      <c r="A87" s="13" t="s">
        <v>411</v>
      </c>
      <c r="B87" s="64" t="s">
        <v>280</v>
      </c>
      <c r="C87" s="67" t="s">
        <v>412</v>
      </c>
      <c r="D87" s="66" t="s">
        <v>39</v>
      </c>
      <c r="E87" s="67" t="s">
        <v>40</v>
      </c>
      <c r="F87" s="66" t="s">
        <v>238</v>
      </c>
      <c r="G87" s="67" t="s">
        <v>216</v>
      </c>
      <c r="H87" s="66" t="s">
        <v>14</v>
      </c>
      <c r="I87" s="67" t="s">
        <v>628</v>
      </c>
      <c r="J87" s="66" t="s">
        <v>614</v>
      </c>
      <c r="K87" s="115" t="s">
        <v>230</v>
      </c>
      <c r="L87" s="79">
        <v>0</v>
      </c>
      <c r="M87" s="115" t="s">
        <v>218</v>
      </c>
      <c r="N87" s="79" t="s">
        <v>20</v>
      </c>
      <c r="O87" s="115" t="s">
        <v>40</v>
      </c>
    </row>
    <row r="88" spans="1:15" ht="15.75" thickBot="1">
      <c r="A88" s="13" t="s">
        <v>413</v>
      </c>
      <c r="B88" s="64" t="s">
        <v>414</v>
      </c>
      <c r="C88" s="67" t="s">
        <v>121</v>
      </c>
      <c r="D88" s="66" t="s">
        <v>39</v>
      </c>
      <c r="E88" s="67" t="s">
        <v>40</v>
      </c>
      <c r="F88" s="66" t="s">
        <v>238</v>
      </c>
      <c r="G88" s="67" t="s">
        <v>415</v>
      </c>
      <c r="H88" s="66" t="s">
        <v>14</v>
      </c>
      <c r="I88" s="67" t="s">
        <v>628</v>
      </c>
      <c r="J88" s="66"/>
      <c r="K88" s="115" t="s">
        <v>230</v>
      </c>
      <c r="L88" s="79">
        <v>650</v>
      </c>
      <c r="M88" s="115" t="s">
        <v>217</v>
      </c>
      <c r="N88" s="79" t="s">
        <v>20</v>
      </c>
      <c r="O88" s="115" t="s">
        <v>40</v>
      </c>
    </row>
    <row r="89" spans="1:15" ht="15.75" thickBot="1">
      <c r="A89" s="13" t="s">
        <v>748</v>
      </c>
      <c r="B89" s="64" t="s">
        <v>749</v>
      </c>
      <c r="C89" s="67" t="s">
        <v>756</v>
      </c>
      <c r="D89" s="66" t="s">
        <v>51</v>
      </c>
      <c r="E89" s="67" t="s">
        <v>40</v>
      </c>
      <c r="F89" s="66" t="s">
        <v>229</v>
      </c>
      <c r="G89" s="67" t="s">
        <v>750</v>
      </c>
      <c r="H89" s="66" t="s">
        <v>14</v>
      </c>
      <c r="I89" s="67" t="s">
        <v>759</v>
      </c>
      <c r="J89" s="66" t="s">
        <v>751</v>
      </c>
      <c r="K89" s="115" t="s">
        <v>229</v>
      </c>
      <c r="L89" s="79">
        <v>64.2</v>
      </c>
      <c r="M89" s="115" t="s">
        <v>217</v>
      </c>
      <c r="N89" s="79" t="s">
        <v>20</v>
      </c>
      <c r="O89" s="115" t="s">
        <v>40</v>
      </c>
    </row>
    <row r="90" spans="1:15" ht="15.75" thickBot="1">
      <c r="A90" s="13" t="s">
        <v>416</v>
      </c>
      <c r="B90" s="64" t="s">
        <v>250</v>
      </c>
      <c r="C90" s="67" t="s">
        <v>96</v>
      </c>
      <c r="D90" s="66" t="s">
        <v>39</v>
      </c>
      <c r="E90" s="67" t="s">
        <v>40</v>
      </c>
      <c r="F90" s="66" t="s">
        <v>238</v>
      </c>
      <c r="G90" s="67" t="s">
        <v>261</v>
      </c>
      <c r="H90" s="66" t="s">
        <v>14</v>
      </c>
      <c r="I90" s="67" t="s">
        <v>628</v>
      </c>
      <c r="J90" s="66"/>
      <c r="K90" s="115" t="s">
        <v>230</v>
      </c>
      <c r="L90" s="79">
        <v>500</v>
      </c>
      <c r="M90" s="115" t="s">
        <v>217</v>
      </c>
      <c r="N90" s="79" t="s">
        <v>20</v>
      </c>
      <c r="O90" s="115" t="s">
        <v>40</v>
      </c>
    </row>
    <row r="91" spans="1:15" ht="15.75" thickBot="1">
      <c r="A91" s="13" t="s">
        <v>417</v>
      </c>
      <c r="B91" s="64" t="s">
        <v>319</v>
      </c>
      <c r="C91" s="67" t="s">
        <v>412</v>
      </c>
      <c r="D91" s="66" t="s">
        <v>51</v>
      </c>
      <c r="E91" s="67" t="s">
        <v>40</v>
      </c>
      <c r="F91" s="66" t="s">
        <v>238</v>
      </c>
      <c r="G91" s="67" t="s">
        <v>259</v>
      </c>
      <c r="H91" s="66" t="s">
        <v>14</v>
      </c>
      <c r="I91" s="67" t="s">
        <v>418</v>
      </c>
      <c r="J91" s="66"/>
      <c r="K91" s="80" t="s">
        <v>230</v>
      </c>
      <c r="L91" s="79">
        <v>250</v>
      </c>
      <c r="M91" s="80" t="s">
        <v>217</v>
      </c>
      <c r="N91" s="79" t="s">
        <v>20</v>
      </c>
      <c r="O91" s="80" t="s">
        <v>40</v>
      </c>
    </row>
    <row r="92" spans="1:15" ht="15.75" thickBot="1">
      <c r="A92" s="13" t="s">
        <v>420</v>
      </c>
      <c r="B92" s="64" t="s">
        <v>92</v>
      </c>
      <c r="C92" s="67" t="s">
        <v>126</v>
      </c>
      <c r="D92" s="66" t="s">
        <v>12</v>
      </c>
      <c r="E92" s="67" t="s">
        <v>13</v>
      </c>
      <c r="F92" s="66" t="s">
        <v>238</v>
      </c>
      <c r="G92" s="67" t="s">
        <v>421</v>
      </c>
      <c r="H92" s="66" t="s">
        <v>219</v>
      </c>
      <c r="I92" s="67" t="s">
        <v>422</v>
      </c>
      <c r="J92" s="66"/>
      <c r="K92" s="80" t="s">
        <v>230</v>
      </c>
      <c r="L92" s="79">
        <v>30</v>
      </c>
      <c r="M92" s="80" t="s">
        <v>217</v>
      </c>
      <c r="N92" s="79" t="s">
        <v>20</v>
      </c>
      <c r="O92" s="80" t="s">
        <v>13</v>
      </c>
    </row>
    <row r="93" spans="1:15" ht="23.25" thickBot="1">
      <c r="A93" s="13" t="s">
        <v>781</v>
      </c>
      <c r="B93" s="64" t="s">
        <v>766</v>
      </c>
      <c r="C93" s="67" t="s">
        <v>96</v>
      </c>
      <c r="D93" s="66" t="s">
        <v>767</v>
      </c>
      <c r="E93" s="67" t="s">
        <v>40</v>
      </c>
      <c r="F93" s="66" t="s">
        <v>238</v>
      </c>
      <c r="G93" s="67" t="s">
        <v>779</v>
      </c>
      <c r="H93" s="66" t="s">
        <v>14</v>
      </c>
      <c r="I93" s="67"/>
      <c r="J93" s="66"/>
      <c r="K93" s="80" t="s">
        <v>230</v>
      </c>
      <c r="L93" s="79">
        <v>1000</v>
      </c>
      <c r="M93" s="80" t="s">
        <v>217</v>
      </c>
      <c r="N93" s="79" t="s">
        <v>20</v>
      </c>
      <c r="O93" s="80" t="s">
        <v>40</v>
      </c>
    </row>
    <row r="94" spans="1:15" ht="23.25" thickBot="1">
      <c r="A94" s="13" t="s">
        <v>782</v>
      </c>
      <c r="B94" s="64" t="s">
        <v>766</v>
      </c>
      <c r="C94" s="67" t="s">
        <v>96</v>
      </c>
      <c r="D94" s="66" t="s">
        <v>604</v>
      </c>
      <c r="E94" s="67" t="s">
        <v>730</v>
      </c>
      <c r="F94" s="66" t="s">
        <v>238</v>
      </c>
      <c r="G94" s="67" t="s">
        <v>771</v>
      </c>
      <c r="H94" s="66" t="s">
        <v>10</v>
      </c>
      <c r="I94" s="67"/>
      <c r="J94" s="66"/>
      <c r="K94" s="80" t="s">
        <v>230</v>
      </c>
      <c r="L94" s="79">
        <v>1000</v>
      </c>
      <c r="M94" s="80" t="s">
        <v>217</v>
      </c>
      <c r="N94" s="79" t="s">
        <v>20</v>
      </c>
      <c r="O94" s="80" t="s">
        <v>604</v>
      </c>
    </row>
    <row r="95" spans="1:15" ht="15.75" thickBot="1">
      <c r="A95" s="13" t="s">
        <v>718</v>
      </c>
      <c r="B95" s="64" t="s">
        <v>216</v>
      </c>
      <c r="C95" s="67" t="s">
        <v>719</v>
      </c>
      <c r="D95" s="66" t="s">
        <v>39</v>
      </c>
      <c r="E95" s="67" t="s">
        <v>40</v>
      </c>
      <c r="F95" s="66" t="s">
        <v>238</v>
      </c>
      <c r="G95" s="67" t="s">
        <v>719</v>
      </c>
      <c r="H95" s="66" t="s">
        <v>14</v>
      </c>
      <c r="I95" s="67" t="s">
        <v>264</v>
      </c>
      <c r="J95" s="66" t="s">
        <v>720</v>
      </c>
      <c r="K95" s="80" t="s">
        <v>230</v>
      </c>
      <c r="L95" s="79">
        <v>185</v>
      </c>
      <c r="M95" s="80" t="s">
        <v>217</v>
      </c>
      <c r="N95" s="79" t="s">
        <v>20</v>
      </c>
      <c r="O95" s="80" t="s">
        <v>40</v>
      </c>
    </row>
    <row r="96" spans="1:15" ht="15.75" thickBot="1">
      <c r="A96" s="13" t="s">
        <v>423</v>
      </c>
      <c r="B96" s="64" t="s">
        <v>424</v>
      </c>
      <c r="C96" s="67" t="s">
        <v>96</v>
      </c>
      <c r="D96" s="66" t="s">
        <v>39</v>
      </c>
      <c r="E96" s="67" t="s">
        <v>40</v>
      </c>
      <c r="F96" s="66" t="s">
        <v>239</v>
      </c>
      <c r="G96" s="67" t="s">
        <v>425</v>
      </c>
      <c r="H96" s="66" t="s">
        <v>14</v>
      </c>
      <c r="I96" s="67" t="s">
        <v>426</v>
      </c>
      <c r="J96" s="66" t="s">
        <v>615</v>
      </c>
      <c r="K96" s="80" t="s">
        <v>229</v>
      </c>
      <c r="L96" s="79">
        <v>102.5</v>
      </c>
      <c r="M96" s="80" t="s">
        <v>217</v>
      </c>
      <c r="N96" s="79" t="s">
        <v>20</v>
      </c>
      <c r="O96" s="80" t="s">
        <v>40</v>
      </c>
    </row>
    <row r="97" spans="1:15" ht="15.75" thickBot="1">
      <c r="A97" s="13" t="s">
        <v>427</v>
      </c>
      <c r="B97" s="64" t="s">
        <v>245</v>
      </c>
      <c r="C97" s="67" t="s">
        <v>246</v>
      </c>
      <c r="D97" s="66" t="s">
        <v>39</v>
      </c>
      <c r="E97" s="67" t="s">
        <v>40</v>
      </c>
      <c r="F97" s="66" t="s">
        <v>238</v>
      </c>
      <c r="G97" s="67" t="s">
        <v>255</v>
      </c>
      <c r="H97" s="66" t="s">
        <v>14</v>
      </c>
      <c r="I97" s="67" t="s">
        <v>628</v>
      </c>
      <c r="J97" s="66"/>
      <c r="K97" s="80" t="s">
        <v>230</v>
      </c>
      <c r="L97" s="79">
        <v>300</v>
      </c>
      <c r="M97" s="80" t="s">
        <v>217</v>
      </c>
      <c r="N97" s="79" t="s">
        <v>20</v>
      </c>
      <c r="O97" s="80" t="s">
        <v>40</v>
      </c>
    </row>
    <row r="98" spans="1:15">
      <c r="A98" s="78"/>
      <c r="B98" s="78"/>
      <c r="C98" s="78"/>
      <c r="D98" s="78"/>
      <c r="E98" s="78"/>
      <c r="F98" s="78"/>
      <c r="G98" s="78"/>
      <c r="H98" s="78"/>
      <c r="I98" s="78"/>
      <c r="J98" s="78"/>
      <c r="K98" s="78"/>
      <c r="L98" s="78"/>
      <c r="M98" s="78"/>
      <c r="N98" s="78"/>
      <c r="O98" s="78"/>
    </row>
    <row r="99" spans="1:15">
      <c r="A99" s="162" t="s">
        <v>727</v>
      </c>
      <c r="B99" s="163"/>
      <c r="C99" s="163"/>
      <c r="D99" s="163"/>
      <c r="E99" s="163"/>
      <c r="F99" s="163"/>
      <c r="G99" s="163"/>
      <c r="H99" s="163"/>
      <c r="I99" s="163"/>
      <c r="J99" s="163"/>
    </row>
  </sheetData>
  <mergeCells count="1">
    <mergeCell ref="A99:J99"/>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6D60-D6E2-4B7F-AF49-F8312602B7CB}">
  <dimension ref="B1:M47"/>
  <sheetViews>
    <sheetView workbookViewId="0"/>
  </sheetViews>
  <sheetFormatPr defaultColWidth="9.140625" defaultRowHeight="15"/>
  <cols>
    <col min="1" max="1" width="2.140625" style="97" customWidth="1"/>
    <col min="2" max="2" width="23.140625" style="97" customWidth="1"/>
    <col min="3" max="3" width="11.140625" style="97" bestFit="1" customWidth="1"/>
    <col min="4" max="11" width="10.140625" style="97" customWidth="1"/>
    <col min="12" max="12" width="9.140625" style="97"/>
    <col min="13" max="13" width="11.42578125" style="97" customWidth="1"/>
    <col min="14" max="16384" width="9.140625" style="97"/>
  </cols>
  <sheetData>
    <row r="1" spans="2:11" ht="19.5">
      <c r="B1" s="96" t="s">
        <v>624</v>
      </c>
    </row>
    <row r="2" spans="2:11" ht="36.75" customHeight="1">
      <c r="B2" s="164" t="s">
        <v>660</v>
      </c>
      <c r="C2" s="164"/>
      <c r="D2" s="164"/>
      <c r="E2" s="164"/>
      <c r="F2" s="164"/>
      <c r="G2" s="164"/>
      <c r="H2" s="164"/>
      <c r="I2" s="164"/>
      <c r="J2" s="164"/>
      <c r="K2" s="164"/>
    </row>
    <row r="3" spans="2:11" ht="35.25" customHeight="1">
      <c r="B3" s="164" t="s">
        <v>661</v>
      </c>
      <c r="C3" s="164"/>
      <c r="D3" s="164"/>
      <c r="E3" s="164"/>
      <c r="F3" s="164"/>
      <c r="G3" s="164"/>
      <c r="H3" s="164"/>
      <c r="I3" s="164"/>
      <c r="J3" s="164"/>
      <c r="K3" s="164"/>
    </row>
    <row r="4" spans="2:11" ht="14.25" customHeight="1">
      <c r="B4" s="165" t="s">
        <v>662</v>
      </c>
      <c r="C4" s="165"/>
      <c r="D4" s="165"/>
      <c r="E4" s="165"/>
      <c r="F4" s="165"/>
      <c r="G4" s="165"/>
      <c r="H4" s="165"/>
      <c r="I4" s="165"/>
      <c r="J4" s="165"/>
      <c r="K4" s="165"/>
    </row>
    <row r="5" spans="2:11" ht="39" customHeight="1">
      <c r="B5" s="166" t="s">
        <v>663</v>
      </c>
      <c r="C5" s="166"/>
      <c r="D5" s="166"/>
      <c r="E5" s="166"/>
      <c r="F5" s="166"/>
      <c r="G5" s="166"/>
      <c r="H5" s="166"/>
      <c r="I5" s="166"/>
      <c r="J5" s="166"/>
      <c r="K5" s="166"/>
    </row>
    <row r="6" spans="2:11" ht="13.5" customHeight="1">
      <c r="B6" s="98"/>
      <c r="C6" s="98"/>
      <c r="D6" s="98"/>
      <c r="E6" s="98"/>
      <c r="F6" s="98"/>
      <c r="G6" s="98"/>
      <c r="H6" s="98"/>
      <c r="I6" s="98"/>
      <c r="J6" s="98"/>
      <c r="K6" s="98"/>
    </row>
    <row r="7" spans="2:11" ht="49.5" customHeight="1">
      <c r="B7" s="165" t="s">
        <v>672</v>
      </c>
      <c r="C7" s="165"/>
      <c r="D7" s="165"/>
      <c r="E7" s="165"/>
      <c r="F7" s="165"/>
      <c r="G7" s="165"/>
      <c r="H7" s="165"/>
      <c r="I7" s="165"/>
      <c r="J7" s="165"/>
      <c r="K7" s="165"/>
    </row>
    <row r="8" spans="2:11" ht="13.5" customHeight="1">
      <c r="B8" s="98"/>
      <c r="C8" s="98"/>
      <c r="D8" s="98"/>
      <c r="E8" s="98"/>
      <c r="F8" s="98"/>
      <c r="G8" s="98"/>
      <c r="H8" s="98"/>
      <c r="I8" s="98"/>
      <c r="J8" s="98"/>
      <c r="K8" s="98"/>
    </row>
    <row r="9" spans="2:11">
      <c r="B9" s="100" t="s">
        <v>508</v>
      </c>
    </row>
    <row r="10" spans="2:11" ht="28.5" customHeight="1">
      <c r="B10" s="164" t="s">
        <v>509</v>
      </c>
      <c r="C10" s="164"/>
      <c r="D10" s="164"/>
      <c r="E10" s="164"/>
      <c r="F10" s="164"/>
      <c r="G10" s="164"/>
      <c r="H10" s="164"/>
      <c r="I10" s="164"/>
      <c r="J10" s="164"/>
      <c r="K10" s="164"/>
    </row>
    <row r="11" spans="2:11" ht="39" customHeight="1">
      <c r="B11" s="164" t="s">
        <v>510</v>
      </c>
      <c r="C11" s="164"/>
      <c r="D11" s="164"/>
      <c r="E11" s="164"/>
      <c r="F11" s="164"/>
      <c r="G11" s="164"/>
      <c r="H11" s="164"/>
      <c r="I11" s="164"/>
      <c r="J11" s="164"/>
      <c r="K11" s="164"/>
    </row>
    <row r="12" spans="2:11" ht="15.75" customHeight="1">
      <c r="B12" s="99" t="s">
        <v>511</v>
      </c>
    </row>
    <row r="13" spans="2:11" ht="27" customHeight="1">
      <c r="B13" s="169" t="s">
        <v>625</v>
      </c>
      <c r="C13" s="170"/>
      <c r="D13" s="170"/>
      <c r="E13" s="170"/>
      <c r="F13" s="170"/>
      <c r="G13" s="170"/>
      <c r="H13" s="170"/>
      <c r="I13" s="170"/>
      <c r="J13" s="170"/>
      <c r="K13" s="170"/>
    </row>
    <row r="14" spans="2:11" ht="49.5" customHeight="1">
      <c r="B14" s="170" t="s">
        <v>512</v>
      </c>
      <c r="C14" s="170"/>
      <c r="D14" s="170"/>
      <c r="E14" s="170"/>
      <c r="F14" s="170"/>
      <c r="G14" s="170"/>
      <c r="H14" s="170"/>
      <c r="I14" s="170"/>
      <c r="J14" s="170"/>
      <c r="K14" s="170"/>
    </row>
    <row r="15" spans="2:11">
      <c r="B15" s="101"/>
    </row>
    <row r="16" spans="2:11">
      <c r="B16" s="102" t="s">
        <v>513</v>
      </c>
    </row>
    <row r="17" spans="2:12" ht="15.75" thickBot="1">
      <c r="B17" s="103" t="s">
        <v>514</v>
      </c>
      <c r="C17" s="111" t="s">
        <v>515</v>
      </c>
      <c r="D17" s="111" t="s">
        <v>516</v>
      </c>
    </row>
    <row r="18" spans="2:12" ht="16.5" thickTop="1" thickBot="1">
      <c r="B18" s="104" t="s">
        <v>517</v>
      </c>
      <c r="C18" s="105">
        <v>37</v>
      </c>
      <c r="D18" s="105">
        <v>15</v>
      </c>
    </row>
    <row r="19" spans="2:12" ht="15.75" thickBot="1">
      <c r="B19" s="104" t="s">
        <v>518</v>
      </c>
      <c r="C19" s="105">
        <v>42</v>
      </c>
      <c r="D19" s="105">
        <v>9</v>
      </c>
    </row>
    <row r="20" spans="2:12" ht="15.75" thickBot="1">
      <c r="B20" s="104" t="s">
        <v>519</v>
      </c>
      <c r="C20" s="105">
        <v>41</v>
      </c>
      <c r="D20" s="105">
        <v>8</v>
      </c>
    </row>
    <row r="21" spans="2:12" ht="15.75" thickBot="1">
      <c r="B21" s="104" t="s">
        <v>520</v>
      </c>
      <c r="C21" s="105">
        <v>43</v>
      </c>
      <c r="D21" s="105">
        <v>11</v>
      </c>
    </row>
    <row r="22" spans="2:12" ht="15.75" thickBot="1">
      <c r="B22" s="104" t="s">
        <v>521</v>
      </c>
      <c r="C22" s="105">
        <v>7.7</v>
      </c>
      <c r="D22" s="105">
        <v>1.2</v>
      </c>
    </row>
    <row r="23" spans="2:12">
      <c r="B23" s="106"/>
    </row>
    <row r="24" spans="2:12">
      <c r="B24" s="100" t="s">
        <v>522</v>
      </c>
    </row>
    <row r="25" spans="2:12" ht="25.5" customHeight="1">
      <c r="B25" s="164" t="s">
        <v>523</v>
      </c>
      <c r="C25" s="164"/>
      <c r="D25" s="164"/>
      <c r="E25" s="164"/>
      <c r="F25" s="164"/>
      <c r="G25" s="164"/>
      <c r="H25" s="164"/>
      <c r="I25" s="164"/>
      <c r="J25" s="164"/>
      <c r="K25" s="164"/>
    </row>
    <row r="26" spans="2:12">
      <c r="B26" s="99"/>
    </row>
    <row r="27" spans="2:12" ht="19.5">
      <c r="B27" s="107" t="s">
        <v>524</v>
      </c>
    </row>
    <row r="28" spans="2:12">
      <c r="B28" s="99" t="s">
        <v>525</v>
      </c>
    </row>
    <row r="29" spans="2:12" s="108" customFormat="1" ht="27.75" customHeight="1">
      <c r="B29" s="164" t="s">
        <v>673</v>
      </c>
      <c r="C29" s="164"/>
      <c r="D29" s="164"/>
      <c r="E29" s="164"/>
      <c r="F29" s="164"/>
      <c r="G29" s="164"/>
      <c r="H29" s="164"/>
      <c r="I29" s="164"/>
      <c r="J29" s="164"/>
      <c r="K29" s="164"/>
    </row>
    <row r="30" spans="2:12">
      <c r="B30" s="99" t="s">
        <v>664</v>
      </c>
    </row>
    <row r="31" spans="2:12">
      <c r="B31" s="101" t="s">
        <v>665</v>
      </c>
    </row>
    <row r="32" spans="2:12" ht="17.25" customHeight="1">
      <c r="B32" s="109"/>
      <c r="C32" s="171" t="s">
        <v>640</v>
      </c>
      <c r="D32" s="171"/>
      <c r="E32" s="171"/>
      <c r="F32" s="171"/>
      <c r="G32" s="171"/>
      <c r="H32" s="171"/>
      <c r="I32" s="171"/>
      <c r="J32" s="171"/>
      <c r="K32" s="171"/>
      <c r="L32" s="171"/>
    </row>
    <row r="33" spans="2:13" ht="30" customHeight="1">
      <c r="B33" s="101"/>
      <c r="C33" s="171" t="s">
        <v>666</v>
      </c>
      <c r="D33" s="171"/>
      <c r="E33" s="171"/>
      <c r="F33" s="171"/>
      <c r="G33" s="171"/>
      <c r="H33" s="171"/>
      <c r="I33" s="171"/>
      <c r="J33" s="171"/>
      <c r="K33" s="171"/>
      <c r="L33" s="171"/>
    </row>
    <row r="34" spans="2:13">
      <c r="B34" s="101" t="s">
        <v>626</v>
      </c>
    </row>
    <row r="35" spans="2:13" s="101" customFormat="1" ht="39.75" customHeight="1">
      <c r="C35" s="171" t="s">
        <v>674</v>
      </c>
      <c r="D35" s="171"/>
      <c r="E35" s="171"/>
      <c r="F35" s="171"/>
      <c r="G35" s="171"/>
      <c r="H35" s="171"/>
      <c r="I35" s="171"/>
      <c r="J35" s="171"/>
      <c r="K35" s="171"/>
      <c r="L35" s="171"/>
      <c r="M35" s="97"/>
    </row>
    <row r="36" spans="2:13" s="101" customFormat="1" ht="41.25" customHeight="1">
      <c r="C36" s="171" t="s">
        <v>627</v>
      </c>
      <c r="D36" s="171"/>
      <c r="E36" s="171"/>
      <c r="F36" s="171"/>
      <c r="G36" s="171"/>
      <c r="H36" s="171"/>
      <c r="I36" s="171"/>
      <c r="J36" s="171"/>
      <c r="K36" s="171"/>
      <c r="L36" s="171"/>
      <c r="M36" s="97"/>
    </row>
    <row r="37" spans="2:13" s="101" customFormat="1" ht="74.25" customHeight="1">
      <c r="C37" s="171" t="s">
        <v>667</v>
      </c>
      <c r="D37" s="171"/>
      <c r="E37" s="171"/>
      <c r="F37" s="171"/>
      <c r="G37" s="171"/>
      <c r="H37" s="171"/>
      <c r="I37" s="171"/>
      <c r="J37" s="171"/>
      <c r="K37" s="171"/>
      <c r="L37" s="171"/>
      <c r="M37" s="97"/>
    </row>
    <row r="38" spans="2:13" s="101" customFormat="1" ht="39" customHeight="1">
      <c r="C38" s="171" t="s">
        <v>668</v>
      </c>
      <c r="D38" s="171"/>
      <c r="E38" s="171"/>
      <c r="F38" s="171"/>
      <c r="G38" s="171"/>
      <c r="H38" s="171"/>
      <c r="I38" s="171"/>
      <c r="J38" s="171"/>
      <c r="K38" s="171"/>
      <c r="L38" s="171"/>
      <c r="M38" s="97"/>
    </row>
    <row r="39" spans="2:13" s="108" customFormat="1">
      <c r="B39" s="99"/>
    </row>
    <row r="40" spans="2:13" s="108" customFormat="1">
      <c r="B40" s="110" t="s">
        <v>526</v>
      </c>
    </row>
    <row r="41" spans="2:13" s="108" customFormat="1" ht="15.75" thickBot="1">
      <c r="B41" s="103" t="s">
        <v>527</v>
      </c>
      <c r="C41" s="167" t="s">
        <v>528</v>
      </c>
      <c r="D41" s="168"/>
      <c r="E41" s="168"/>
      <c r="F41" s="168"/>
      <c r="G41" s="168"/>
      <c r="H41" s="168"/>
      <c r="I41" s="168"/>
      <c r="J41" s="168"/>
    </row>
    <row r="42" spans="2:13" s="108" customFormat="1" ht="27.75" customHeight="1" thickTop="1" thickBot="1">
      <c r="B42" s="104" t="s">
        <v>529</v>
      </c>
      <c r="C42" s="172" t="s">
        <v>530</v>
      </c>
      <c r="D42" s="173"/>
      <c r="E42" s="173"/>
      <c r="F42" s="173"/>
      <c r="G42" s="173"/>
      <c r="H42" s="173"/>
      <c r="I42" s="173"/>
      <c r="J42" s="173"/>
    </row>
    <row r="43" spans="2:13" s="108" customFormat="1" ht="42.75" customHeight="1" thickBot="1">
      <c r="B43" s="104" t="s">
        <v>531</v>
      </c>
      <c r="C43" s="172" t="s">
        <v>532</v>
      </c>
      <c r="D43" s="173"/>
      <c r="E43" s="173"/>
      <c r="F43" s="173"/>
      <c r="G43" s="173"/>
      <c r="H43" s="173"/>
      <c r="I43" s="173"/>
      <c r="J43" s="173"/>
    </row>
    <row r="44" spans="2:13" s="108" customFormat="1" ht="46.5" customHeight="1" thickBot="1">
      <c r="B44" s="104" t="s">
        <v>675</v>
      </c>
      <c r="C44" s="172" t="s">
        <v>669</v>
      </c>
      <c r="D44" s="173"/>
      <c r="E44" s="173"/>
      <c r="F44" s="173"/>
      <c r="G44" s="173"/>
      <c r="H44" s="173"/>
      <c r="I44" s="173"/>
      <c r="J44" s="173"/>
    </row>
    <row r="45" spans="2:13" s="108" customFormat="1" ht="25.5" customHeight="1" thickBot="1">
      <c r="B45" s="104" t="s">
        <v>533</v>
      </c>
      <c r="C45" s="172" t="s">
        <v>534</v>
      </c>
      <c r="D45" s="173"/>
      <c r="E45" s="173"/>
      <c r="F45" s="173"/>
      <c r="G45" s="173"/>
      <c r="H45" s="173"/>
      <c r="I45" s="173"/>
      <c r="J45" s="173"/>
    </row>
    <row r="46" spans="2:13" s="108" customFormat="1" ht="23.25" customHeight="1" thickBot="1">
      <c r="B46" s="104" t="s">
        <v>670</v>
      </c>
      <c r="C46" s="172" t="s">
        <v>671</v>
      </c>
      <c r="D46" s="174"/>
      <c r="E46" s="174"/>
      <c r="F46" s="174"/>
      <c r="G46" s="174"/>
      <c r="H46" s="174"/>
      <c r="I46" s="174"/>
      <c r="J46" s="174"/>
    </row>
    <row r="47" spans="2:13" s="108" customFormat="1" ht="15.75" thickBot="1">
      <c r="B47" s="112"/>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NETWORKDEV-2134468847-14512</_dlc_DocId>
    <_dlc_DocIdUrl xmlns="a14523ce-dede-483e-883a-2d83261080bd">
      <Url>http://sharedocs/sites/nd/BusinessAsUsual/_layouts/15/DocIdRedir.aspx?ID=NETWORKDEV-2134468847-14512</Url>
      <Description>NETWORKDEV-2134468847-14512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s q m i d = " c d 5 1 e 4 2 6 - 4 e 3 1 - 4 1 1 d - b c 8 0 - 9 d a d 8 4 d 2 a 4 6 b "   x m l n s = " h t t p : / / s c h e m a s . m i c r o s o f t . c o m / D a t a M a s h u p " > A A A A A B c D A A B Q S w M E F A A C A A g A 9 l h G 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9 l h G 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Z Y R k 4 o i k e 4 D g A A A B E A A A A T A B w A R m 9 y b X V s Y X M v U 2 V j d G l v b j E u b S C i G A A o o B Q A A A A A A A A A A A A A A A A A A A A A A A A A A A A r T k 0 u y c z P U w i G 0 I b W A F B L A Q I t A B Q A A g A I A P Z Y R k 6 a 6 E c x p w A A A P k A A A A S A A A A A A A A A A A A A A A A A A A A A A B D b 2 5 m a W c v U G F j a 2 F n Z S 5 4 b W x Q S w E C L Q A U A A I A C A D 2 W E Z O D 8 r p q 6 Q A A A D p A A A A E w A A A A A A A A A A A A A A A A D z A A A A W 0 N v b n R l b n R f V H l w Z X N d L n h t b F B L A Q I t A B Q A A g A I A P Z Y R k 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4 n k Q u D S E T p 7 O 2 A 5 u T Z P 3 A A A A A A I A A A A A A A N m A A D A A A A A E A A A A I e B p S Y H T j h n j K Z O d Z p T m U o A A A A A B I A A A K A A A A A Q A A A A 9 3 K L n N o O / z b o K 6 V O T D z e R 1 A A A A D 3 f 5 B 3 Y N R 6 x n / T R d k a D O 6 B V 2 V m I X s Z C k J U u + R d M k + T 9 9 n F T 7 B 3 I S i b 4 a U / Q 8 Y K c 3 5 K 3 f D 9 2 S M Q Z x q x I 9 G k q v x X S U w R B s U M / H d 3 j X I T n 3 y I N x Q A A A B E x S l F B b b T 1 q q 0 x 5 x P m c s o X z p 5 P A = = < / D a t a M a s h u p > 
</file>

<file path=customXml/itemProps1.xml><?xml version="1.0" encoding="utf-8"?>
<ds:datastoreItem xmlns:ds="http://schemas.openxmlformats.org/officeDocument/2006/customXml" ds:itemID="{A3587273-40E9-447E-B829-F08DBB9F148E}">
  <ds:schemaRefs>
    <ds:schemaRef ds:uri="http://schemas.microsoft.com/sharepoint/events"/>
  </ds:schemaRefs>
</ds:datastoreItem>
</file>

<file path=customXml/itemProps2.xml><?xml version="1.0" encoding="utf-8"?>
<ds:datastoreItem xmlns:ds="http://schemas.openxmlformats.org/officeDocument/2006/customXml" ds:itemID="{89728FB0-5DCE-407C-A5E4-EA3593B22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1DD80D-532E-4FBC-B085-D24AD578DBFE}">
  <ds:schemaRefs>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499750AC-BAB1-45DF-BFB9-027E52EB04F1}">
  <ds:schemaRefs>
    <ds:schemaRef ds:uri="http://schemas.microsoft.com/sharepoint/v3/contenttype/forms"/>
  </ds:schemaRefs>
</ds:datastoreItem>
</file>

<file path=customXml/itemProps5.xml><?xml version="1.0" encoding="utf-8"?>
<ds:datastoreItem xmlns:ds="http://schemas.openxmlformats.org/officeDocument/2006/customXml" ds:itemID="{40B22527-2C69-4554-9A63-33B186F8395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2019-02-06T00:08:01Z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01f46ed6-97f3-43bf-8b4d-c2c75655cf90</vt:lpwstr>
  </property>
  <property fmtid="{D5CDD505-2E9C-101B-9397-08002B2CF9AE}" pid="6" name="AEMODocumentType">
    <vt:lpwstr>3;#Operational Record|859762f2-4462-42eb-9744-c955c7e2c540</vt:lpwstr>
  </property>
</Properties>
</file>