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bodger\Documents\Uploads April 2017\CLP\"/>
    </mc:Choice>
  </mc:AlternateContent>
  <bookViews>
    <workbookView xWindow="10260" yWindow="-75" windowWidth="23550" windowHeight="12465"/>
  </bookViews>
  <sheets>
    <sheet name="MCL" sheetId="3" r:id="rId1"/>
    <sheet name="RegionalData" sheetId="2" r:id="rId2"/>
    <sheet name="ParticipantData" sheetId="12" r:id="rId3"/>
    <sheet name="Version history" sheetId="13" r:id="rId4"/>
  </sheets>
  <definedNames>
    <definedName name="GST">MCL!$G$8</definedName>
    <definedName name="NSW_EG">ParticipantData!$I$14</definedName>
    <definedName name="NSW_EL">ParticipantData!$I$7</definedName>
    <definedName name="NSW_P">RegionalData!$H$6</definedName>
    <definedName name="NSW_PCS">ParticipantData!$E$23</definedName>
    <definedName name="NSW_PDS">ParticipantData!$E$22</definedName>
    <definedName name="NSW_PHH">RegionalData!$D$21:$AY$21</definedName>
    <definedName name="NSW_PHHC100">RegionalData!$D$26:$AY$26</definedName>
    <definedName name="NSW_PHHC200">RegionalData!$D$31:$AY$31</definedName>
    <definedName name="NSW_PHHC300">RegionalData!$D$36:$AY$36</definedName>
    <definedName name="NSW_PRAFG">ParticipantData!$L$11</definedName>
    <definedName name="NSW_PRAFL">ParticipantData!$L$8</definedName>
    <definedName name="NSW_PRAFR">ParticipantData!$L$14</definedName>
    <definedName name="NSW_PRAFRC100">ParticipantData!$L$17</definedName>
    <definedName name="NSW_PRAFRC200">ParticipantData!$L$20</definedName>
    <definedName name="NSW_PRAFRC300">ParticipantData!$L$23</definedName>
    <definedName name="NSW_RC">ParticipantData!$I$16</definedName>
    <definedName name="NSW_RCC100">ParticipantData!$I$18</definedName>
    <definedName name="NSW_RCC200">ParticipantData!$I$19</definedName>
    <definedName name="NSW_RCC300">ParticipantData!$I$20</definedName>
    <definedName name="NSW_RCD">ParticipantData!$I$23</definedName>
    <definedName name="NSW_RCS">ParticipantData!$I$17</definedName>
    <definedName name="NSW_RD">ParticipantData!$I$9</definedName>
    <definedName name="NSW_RDC100">ParticipantData!$I$11</definedName>
    <definedName name="NSW_RDC200">ParticipantData!$I$12</definedName>
    <definedName name="NSW_RDC300">ParticipantData!$I$13</definedName>
    <definedName name="NSW_RDD">ParticipantData!$I$22</definedName>
    <definedName name="NSW_RDS">ParticipantData!$I$10</definedName>
    <definedName name="NSW_RLWP">RegionalData!$H$7</definedName>
    <definedName name="NSW_RLWPC100">RegionalData!$H$8</definedName>
    <definedName name="NSW_RLWPC200">RegionalData!$H$9</definedName>
    <definedName name="NSW_RLWPC300">RegionalData!$H$10</definedName>
    <definedName name="NSW_VFOSL">RegionalData!$H$11</definedName>
    <definedName name="NSW_VFPM">RegionalData!$H$12</definedName>
    <definedName name="PM_OFFSET">ParticipantData!$M$2</definedName>
    <definedName name="_xlnm.Print_Titles" localSheetId="2">ParticipantData!$Q:$Q</definedName>
    <definedName name="_xlnm.Print_Titles" localSheetId="1">RegionalData!$B:$C</definedName>
    <definedName name="QLD_EG">ParticipantData!$I$35</definedName>
    <definedName name="QLD_EL">ParticipantData!$I$28</definedName>
    <definedName name="QLD_P">RegionalData!$I$6</definedName>
    <definedName name="QLD_PCS">ParticipantData!$E$44</definedName>
    <definedName name="QLD_PDS">ParticipantData!$E$43</definedName>
    <definedName name="QLD_PHH">RegionalData!$D$22:$AY$22</definedName>
    <definedName name="QLD_PHHC100">RegionalData!$D$27:$AY$27</definedName>
    <definedName name="QLD_PHHC200">RegionalData!$D$32:$AY$32</definedName>
    <definedName name="QLD_PHHC300">RegionalData!$D$37:$AY$37</definedName>
    <definedName name="QLD_PRAFG">ParticipantData!$L$32</definedName>
    <definedName name="QLD_PRAFL">ParticipantData!$L$29</definedName>
    <definedName name="QLD_PRAFR">ParticipantData!$L$35</definedName>
    <definedName name="QLD_PRAFRC100">ParticipantData!$L$38</definedName>
    <definedName name="QLD_PRAFRC200">ParticipantData!$L$41</definedName>
    <definedName name="QLD_PRAFRC300">ParticipantData!$L$44</definedName>
    <definedName name="QLD_RC">ParticipantData!$I$37</definedName>
    <definedName name="QLD_RCC100">ParticipantData!$I$39</definedName>
    <definedName name="QLD_RCC200">ParticipantData!$I$40</definedName>
    <definedName name="QLD_RCC300">ParticipantData!$I$41</definedName>
    <definedName name="QLD_RCD">ParticipantData!$I$44</definedName>
    <definedName name="QLD_RCS">ParticipantData!$I$38</definedName>
    <definedName name="QLD_RD">ParticipantData!$I$30</definedName>
    <definedName name="QLD_RDC100">ParticipantData!$I$32</definedName>
    <definedName name="QLD_RDC200">ParticipantData!$I$33</definedName>
    <definedName name="QLD_RDC300">ParticipantData!$I$34</definedName>
    <definedName name="QLD_RDD">ParticipantData!$I$43</definedName>
    <definedName name="QLD_RDS">ParticipantData!$I$31</definedName>
    <definedName name="QLD_RLWP">RegionalData!$I$7</definedName>
    <definedName name="QLD_RLWPC100">RegionalData!$I$8</definedName>
    <definedName name="QLD_RLWPC200">RegionalData!$I$9</definedName>
    <definedName name="QLD_RLWPC300">RegionalData!$I$10</definedName>
    <definedName name="QLD_VFOSL">RegionalData!$I$11</definedName>
    <definedName name="QLD_VFPM">RegionalData!$I$12</definedName>
    <definedName name="SA_EG">ParticipantData!$I$56</definedName>
    <definedName name="SA_EL">ParticipantData!$I$49</definedName>
    <definedName name="SA_P">RegionalData!$J$6</definedName>
    <definedName name="SA_PCS">ParticipantData!$E$65</definedName>
    <definedName name="SA_PDS">ParticipantData!$E$64</definedName>
    <definedName name="SA_PHH">RegionalData!$D$23:$AY$23</definedName>
    <definedName name="SA_PHHC100">RegionalData!$D$28:$AY$28</definedName>
    <definedName name="SA_PHHC200">RegionalData!$D$33:$AY$33</definedName>
    <definedName name="SA_PHHC300">RegionalData!$D$38:$AY$38</definedName>
    <definedName name="SA_PRAFG">ParticipantData!$L$53</definedName>
    <definedName name="SA_PRAFL">ParticipantData!$L$50</definedName>
    <definedName name="SA_PRAFR">ParticipantData!$L$56</definedName>
    <definedName name="SA_PRAFRC100">ParticipantData!$L$59</definedName>
    <definedName name="SA_PRAFRC200">ParticipantData!$L$62</definedName>
    <definedName name="SA_PRAFRC300">ParticipantData!$L$65</definedName>
    <definedName name="SA_RC">ParticipantData!$I$58</definedName>
    <definedName name="SA_RCC100">ParticipantData!$I$60</definedName>
    <definedName name="SA_RCC200">ParticipantData!$I$61</definedName>
    <definedName name="SA_RCC300">ParticipantData!$I$62</definedName>
    <definedName name="SA_RCD">ParticipantData!$I$65</definedName>
    <definedName name="SA_RCS">ParticipantData!$I$59</definedName>
    <definedName name="SA_RD">ParticipantData!$I$51</definedName>
    <definedName name="SA_RDC100">ParticipantData!$I$53</definedName>
    <definedName name="SA_RDC200">ParticipantData!$I$54</definedName>
    <definedName name="SA_RDC300">ParticipantData!$I$55</definedName>
    <definedName name="SA_RDD">ParticipantData!$I$64</definedName>
    <definedName name="SA_RDS">ParticipantData!$I$52</definedName>
    <definedName name="SA_RLWP">RegionalData!$J$7</definedName>
    <definedName name="SA_RLWPC100">RegionalData!$J$8</definedName>
    <definedName name="SA_RLWPC200">RegionalData!$J$9</definedName>
    <definedName name="SA_RLWPC300">RegionalData!$J$10</definedName>
    <definedName name="SA_VFOSL">RegionalData!$J$11</definedName>
    <definedName name="SA_VFPM">RegionalData!$J$12</definedName>
    <definedName name="TAS_EG">ParticipantData!$I$77</definedName>
    <definedName name="TAS_EL">ParticipantData!$I$70</definedName>
    <definedName name="TAS_P">RegionalData!$K$6</definedName>
    <definedName name="TAS_PCS">ParticipantData!$E$86</definedName>
    <definedName name="TAS_PDS">ParticipantData!$E$85</definedName>
    <definedName name="TAS_PHH">RegionalData!$D$24:$AY$24</definedName>
    <definedName name="TAS_PHHC100">RegionalData!$D$29:$AY$29</definedName>
    <definedName name="TAS_PHHC200">RegionalData!$D$34:$AY$34</definedName>
    <definedName name="TAS_PHHC300">RegionalData!$D$39:$AY$39</definedName>
    <definedName name="TAS_PRAFG">ParticipantData!$L$74</definedName>
    <definedName name="TAS_PRAFL">ParticipantData!$L$71</definedName>
    <definedName name="TAS_PRAFR">ParticipantData!$L$77</definedName>
    <definedName name="TAS_PRAFRC100">ParticipantData!$L$80</definedName>
    <definedName name="TAS_PRAFRC200">ParticipantData!$L$83</definedName>
    <definedName name="TAS_PRAFRC300">ParticipantData!$L$86</definedName>
    <definedName name="TAS_RC">ParticipantData!$I$79</definedName>
    <definedName name="TAS_RCC100">ParticipantData!$I$81</definedName>
    <definedName name="TAS_RCC200">ParticipantData!$I$82</definedName>
    <definedName name="TAS_RCC300">ParticipantData!$I$83</definedName>
    <definedName name="TAS_RCD">ParticipantData!$I$86</definedName>
    <definedName name="TAS_RCS">ParticipantData!$I$80</definedName>
    <definedName name="TAS_RD">ParticipantData!$I$72</definedName>
    <definedName name="TAS_RDC100">ParticipantData!$I$74</definedName>
    <definedName name="TAS_RDC200">ParticipantData!$I$75</definedName>
    <definedName name="TAS_RDC300">ParticipantData!$I$76</definedName>
    <definedName name="TAS_RDD">ParticipantData!$I$85</definedName>
    <definedName name="TAS_RDS">ParticipantData!$I$73</definedName>
    <definedName name="TAS_RLWP">RegionalData!$K$7</definedName>
    <definedName name="TAS_RLWPC100">RegionalData!$K$8</definedName>
    <definedName name="TAS_RLWPC200">RegionalData!$K$9</definedName>
    <definedName name="TAS_RLWPC300">RegionalData!$K$10</definedName>
    <definedName name="TAS_VFOSL">RegionalData!$K$11</definedName>
    <definedName name="TAS_VFPM">RegionalData!$K$12</definedName>
    <definedName name="TOSL">MCL!$E$8</definedName>
    <definedName name="TRP">MCL!$F$8</definedName>
    <definedName name="VIC_EG">ParticipantData!$I$98</definedName>
    <definedName name="VIC_EL">ParticipantData!$I$91</definedName>
    <definedName name="VIC_P">RegionalData!$L$6</definedName>
    <definedName name="VIC_PCS">ParticipantData!$E$107</definedName>
    <definedName name="VIC_PDS">ParticipantData!$E$106</definedName>
    <definedName name="VIC_PHH">RegionalData!$D$25:$AY$25</definedName>
    <definedName name="VIC_PHHC100">RegionalData!$D$30:$AY$30</definedName>
    <definedName name="VIC_PHHC200">RegionalData!$D$35:$AY$35</definedName>
    <definedName name="VIC_PHHC300">RegionalData!$D$40:$AY$40</definedName>
    <definedName name="VIC_PRAFG">ParticipantData!$L$95</definedName>
    <definedName name="VIC_PRAFL">ParticipantData!$L$92</definedName>
    <definedName name="VIC_PRAFR">ParticipantData!$L$98</definedName>
    <definedName name="VIC_PRAFRC100">ParticipantData!$L$101</definedName>
    <definedName name="VIC_PRAFRC200">ParticipantData!$L$104</definedName>
    <definedName name="VIC_PRAFRC300">ParticipantData!$L$107</definedName>
    <definedName name="VIC_RC">ParticipantData!$I$100</definedName>
    <definedName name="VIC_RCC100">ParticipantData!$I$102</definedName>
    <definedName name="VIC_RCC200">ParticipantData!$I$103</definedName>
    <definedName name="VIC_RCC300">ParticipantData!$I$104</definedName>
    <definedName name="VIC_RCD">ParticipantData!$I$107</definedName>
    <definedName name="VIC_RCS">ParticipantData!$I$101</definedName>
    <definedName name="VIC_RD">ParticipantData!$I$93</definedName>
    <definedName name="VIC_RDC100">ParticipantData!$I$95</definedName>
    <definedName name="VIC_RDC200">ParticipantData!$I$96</definedName>
    <definedName name="VIC_RDC300">ParticipantData!$I$97</definedName>
    <definedName name="VIC_RDD">ParticipantData!$I$106</definedName>
    <definedName name="VIC_RDS">ParticipantData!$I$94</definedName>
    <definedName name="VIC_RLWP">RegionalData!$L$7</definedName>
    <definedName name="VIC_RLWPC100">RegionalData!$L$8</definedName>
    <definedName name="VIC_RLWPC200">RegionalData!$L$9</definedName>
    <definedName name="VIC_RLWPC300">RegionalData!$L$10</definedName>
    <definedName name="VIC_VFOSL">RegionalData!$L$11</definedName>
    <definedName name="VIC_VFPM">RegionalData!$L$12</definedName>
    <definedName name="WD">"WebsiteDraftCSV_Report_2017SUM.csv"</definedName>
  </definedNames>
  <calcPr calcId="152511"/>
</workbook>
</file>

<file path=xl/calcChain.xml><?xml version="1.0" encoding="utf-8"?>
<calcChain xmlns="http://schemas.openxmlformats.org/spreadsheetml/2006/main">
  <c r="O42" i="3" l="1"/>
  <c r="N42" i="3"/>
  <c r="P42" i="3"/>
  <c r="Q42" i="3"/>
  <c r="R42" i="3"/>
  <c r="N41" i="3" l="1"/>
  <c r="M42" i="3" l="1"/>
  <c r="R41" i="3" l="1"/>
  <c r="Q41" i="3"/>
  <c r="P41" i="3"/>
  <c r="O41" i="3"/>
  <c r="R40" i="3"/>
  <c r="Q40" i="3"/>
  <c r="P40" i="3"/>
  <c r="O40" i="3"/>
  <c r="N40" i="3"/>
  <c r="M41" i="3"/>
  <c r="M40" i="3"/>
  <c r="S42" i="3" l="1"/>
  <c r="L95" i="12"/>
  <c r="L92" i="12"/>
  <c r="L74" i="12"/>
  <c r="L71" i="12"/>
  <c r="L53" i="12"/>
  <c r="L50" i="12"/>
  <c r="L32" i="12"/>
  <c r="L29" i="12"/>
  <c r="L11" i="12"/>
  <c r="I5" i="2" l="1"/>
  <c r="K5" i="2"/>
  <c r="L5" i="2"/>
  <c r="H5" i="2"/>
  <c r="J5" i="2"/>
  <c r="A2" i="3"/>
  <c r="R6" i="3" l="1"/>
  <c r="Q6" i="3"/>
  <c r="P6" i="3"/>
  <c r="O6" i="3"/>
  <c r="R7" i="3" l="1"/>
  <c r="Q7" i="3"/>
  <c r="P7" i="3"/>
  <c r="O7" i="3"/>
  <c r="R8" i="3"/>
  <c r="Q8" i="3"/>
  <c r="P8" i="3"/>
  <c r="O8" i="3"/>
  <c r="N8" i="3"/>
  <c r="N7" i="3"/>
  <c r="N6" i="3"/>
  <c r="BM108" i="12"/>
  <c r="BL108" i="12"/>
  <c r="BK108" i="12"/>
  <c r="BJ108" i="12"/>
  <c r="BI108" i="12"/>
  <c r="BH108" i="12"/>
  <c r="BG108" i="12"/>
  <c r="BF108" i="12"/>
  <c r="BE108" i="12"/>
  <c r="BD108" i="12"/>
  <c r="BC108" i="12"/>
  <c r="BB108" i="12"/>
  <c r="BA108" i="12"/>
  <c r="AZ108" i="12"/>
  <c r="AY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R108" i="12"/>
  <c r="BM107" i="12"/>
  <c r="BL107" i="12"/>
  <c r="BK107" i="12"/>
  <c r="BJ107" i="12"/>
  <c r="BI107" i="12"/>
  <c r="BH107" i="12"/>
  <c r="BG107" i="12"/>
  <c r="BF107" i="12"/>
  <c r="BE107" i="12"/>
  <c r="BD107" i="12"/>
  <c r="BC107" i="12"/>
  <c r="BB107" i="12"/>
  <c r="BA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R107" i="12"/>
  <c r="BM106" i="12"/>
  <c r="BL106" i="12"/>
  <c r="BK106" i="12"/>
  <c r="BJ106" i="12"/>
  <c r="BI106" i="12"/>
  <c r="BH106" i="12"/>
  <c r="BG106" i="12"/>
  <c r="BF106" i="12"/>
  <c r="BE106" i="12"/>
  <c r="BD106" i="12"/>
  <c r="BC106" i="12"/>
  <c r="BB106" i="12"/>
  <c r="BA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T106" i="12"/>
  <c r="S106" i="12"/>
  <c r="R106" i="12"/>
  <c r="BM105" i="12"/>
  <c r="BL105" i="12"/>
  <c r="BK105" i="12"/>
  <c r="BJ105" i="12"/>
  <c r="BI105" i="12"/>
  <c r="BH105" i="12"/>
  <c r="BG105" i="12"/>
  <c r="BF105" i="12"/>
  <c r="BE105" i="12"/>
  <c r="BD105" i="12"/>
  <c r="BC105" i="12"/>
  <c r="BB105" i="12"/>
  <c r="BA105" i="12"/>
  <c r="AZ105" i="12"/>
  <c r="AY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R105" i="12"/>
  <c r="BM87" i="12"/>
  <c r="BL87" i="12"/>
  <c r="BK87" i="12"/>
  <c r="BJ87" i="12"/>
  <c r="BI87" i="12"/>
  <c r="BH87" i="12"/>
  <c r="BG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R87" i="12"/>
  <c r="BM86" i="12"/>
  <c r="BL86" i="12"/>
  <c r="BK86" i="12"/>
  <c r="BJ86" i="12"/>
  <c r="BI86" i="12"/>
  <c r="BH86" i="12"/>
  <c r="BG86" i="12"/>
  <c r="BF86" i="12"/>
  <c r="BE86" i="12"/>
  <c r="BD86" i="12"/>
  <c r="BC86" i="12"/>
  <c r="BB86" i="12"/>
  <c r="BA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R86" i="12"/>
  <c r="BM85" i="12"/>
  <c r="BL85" i="12"/>
  <c r="BK85" i="12"/>
  <c r="BJ85" i="12"/>
  <c r="BI85" i="12"/>
  <c r="BH85" i="12"/>
  <c r="BG85" i="12"/>
  <c r="BF85" i="12"/>
  <c r="BE85" i="12"/>
  <c r="BD85" i="12"/>
  <c r="BC85" i="12"/>
  <c r="BB85" i="12"/>
  <c r="BA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T85" i="12"/>
  <c r="S85" i="12"/>
  <c r="R85" i="12"/>
  <c r="BM84" i="12"/>
  <c r="BL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R43" i="12"/>
  <c r="R42"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H7" i="2"/>
  <c r="M8" i="12" s="1"/>
  <c r="R24" i="12"/>
  <c r="L10" i="2"/>
  <c r="L9" i="2"/>
  <c r="L8" i="2"/>
  <c r="K10" i="2"/>
  <c r="K9" i="2"/>
  <c r="K8" i="2"/>
  <c r="J10" i="2"/>
  <c r="J9" i="2"/>
  <c r="J8" i="2"/>
  <c r="I10" i="2"/>
  <c r="I9" i="2"/>
  <c r="I8" i="2"/>
  <c r="H10" i="2"/>
  <c r="H9" i="2"/>
  <c r="H8" i="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R22" i="12"/>
  <c r="L7" i="2"/>
  <c r="K7" i="2"/>
  <c r="J7" i="2"/>
  <c r="I7" i="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D37" i="3"/>
  <c r="E37" i="3"/>
  <c r="F37" i="3"/>
  <c r="G37" i="3"/>
  <c r="H37" i="3"/>
  <c r="D38" i="3"/>
  <c r="E38" i="3"/>
  <c r="F38" i="3"/>
  <c r="G38" i="3"/>
  <c r="H38" i="3"/>
  <c r="M80" i="12" l="1"/>
  <c r="N80" i="12" s="1"/>
  <c r="M104" i="12"/>
  <c r="N104" i="12" s="1"/>
  <c r="M65" i="12"/>
  <c r="N65" i="12" s="1"/>
  <c r="L65" i="12" s="1"/>
  <c r="M101" i="12"/>
  <c r="N101" i="12" s="1"/>
  <c r="M83" i="12"/>
  <c r="N83" i="12" s="1"/>
  <c r="L83" i="12" s="1"/>
  <c r="M107" i="12"/>
  <c r="N107" i="12" s="1"/>
  <c r="M38" i="12"/>
  <c r="N38" i="12" s="1"/>
  <c r="L38" i="12" s="1"/>
  <c r="M62" i="12"/>
  <c r="N62" i="12" s="1"/>
  <c r="M86" i="12"/>
  <c r="N86" i="12" s="1"/>
  <c r="L86" i="12" s="1"/>
  <c r="M44" i="12"/>
  <c r="M41" i="12"/>
  <c r="N41" i="12" s="1"/>
  <c r="M17" i="12"/>
  <c r="M20" i="12"/>
  <c r="M23" i="12"/>
  <c r="M95" i="12"/>
  <c r="N95" i="12" s="1"/>
  <c r="R18" i="3" s="1"/>
  <c r="M98" i="12"/>
  <c r="N98" i="12" s="1"/>
  <c r="L98" i="12" s="1"/>
  <c r="H29" i="3" s="1"/>
  <c r="M92" i="12"/>
  <c r="N92" i="12" s="1"/>
  <c r="R17" i="3" s="1"/>
  <c r="M53" i="12"/>
  <c r="N53" i="12" s="1"/>
  <c r="M56" i="12"/>
  <c r="N56" i="12" s="1"/>
  <c r="L56" i="12" s="1"/>
  <c r="P30" i="3" s="1"/>
  <c r="M50" i="12"/>
  <c r="N50" i="12" s="1"/>
  <c r="F17" i="3" s="1"/>
  <c r="L80" i="12"/>
  <c r="L104" i="12"/>
  <c r="M74" i="12"/>
  <c r="N74" i="12" s="1"/>
  <c r="G18" i="3" s="1"/>
  <c r="M77" i="12"/>
  <c r="N77" i="12" s="1"/>
  <c r="L77" i="12" s="1"/>
  <c r="M71" i="12"/>
  <c r="N71" i="12" s="1"/>
  <c r="M59" i="12"/>
  <c r="M32" i="12"/>
  <c r="N32" i="12" s="1"/>
  <c r="M35" i="12"/>
  <c r="N35" i="12" s="1"/>
  <c r="L35" i="12" s="1"/>
  <c r="M29" i="12"/>
  <c r="N29" i="12" s="1"/>
  <c r="E17" i="3" s="1"/>
  <c r="M11" i="12"/>
  <c r="N11" i="12" s="1"/>
  <c r="N18" i="3" s="1"/>
  <c r="M14" i="12"/>
  <c r="N14" i="12" s="1"/>
  <c r="L14" i="12" s="1"/>
  <c r="N8" i="12"/>
  <c r="H17" i="3"/>
  <c r="H18" i="3"/>
  <c r="O18" i="3"/>
  <c r="E18" i="3"/>
  <c r="P17" i="3"/>
  <c r="D18" i="3"/>
  <c r="P21" i="3"/>
  <c r="F18" i="3"/>
  <c r="P18" i="3"/>
  <c r="O17" i="3"/>
  <c r="P25" i="3" l="1"/>
  <c r="F21" i="3"/>
  <c r="H22" i="3"/>
  <c r="P29" i="3"/>
  <c r="H21" i="3"/>
  <c r="Q32" i="3"/>
  <c r="F22" i="3"/>
  <c r="R21" i="3"/>
  <c r="N20" i="12"/>
  <c r="L20" i="12" s="1"/>
  <c r="N17" i="12"/>
  <c r="L17" i="12" s="1"/>
  <c r="F29" i="3"/>
  <c r="R30" i="3"/>
  <c r="N59" i="12"/>
  <c r="L59" i="12" s="1"/>
  <c r="H32" i="3"/>
  <c r="N23" i="12"/>
  <c r="L23" i="12" s="1"/>
  <c r="N44" i="12"/>
  <c r="L44" i="12" s="1"/>
  <c r="F30" i="3"/>
  <c r="H30" i="3"/>
  <c r="R22" i="3"/>
  <c r="L8" i="12"/>
  <c r="N17" i="3" s="1"/>
  <c r="P22" i="3"/>
  <c r="R29" i="3"/>
  <c r="G21" i="3"/>
  <c r="G23" i="3"/>
  <c r="G32" i="3"/>
  <c r="Q30" i="3"/>
  <c r="G24" i="3"/>
  <c r="Q22" i="3"/>
  <c r="G30" i="3"/>
  <c r="G29" i="3"/>
  <c r="Q21" i="3"/>
  <c r="Q29" i="3"/>
  <c r="G22" i="3"/>
  <c r="G31" i="3"/>
  <c r="Q23" i="3"/>
  <c r="Q31" i="3"/>
  <c r="D22" i="3"/>
  <c r="N21" i="3"/>
  <c r="N30" i="3"/>
  <c r="N22" i="3"/>
  <c r="D30" i="3"/>
  <c r="N29" i="3"/>
  <c r="D29" i="3"/>
  <c r="D21" i="3"/>
  <c r="E21" i="3"/>
  <c r="O22" i="3"/>
  <c r="E23" i="3"/>
  <c r="O30" i="3"/>
  <c r="O21" i="3"/>
  <c r="E29" i="3"/>
  <c r="O29" i="3"/>
  <c r="E30" i="3"/>
  <c r="E22" i="3"/>
  <c r="Q18" i="3"/>
  <c r="G25" i="3"/>
  <c r="E31" i="3"/>
  <c r="L107" i="12"/>
  <c r="R25" i="3" s="1"/>
  <c r="R32" i="3"/>
  <c r="H24" i="3"/>
  <c r="R24" i="3"/>
  <c r="L101" i="12"/>
  <c r="H31" i="3" s="1"/>
  <c r="G33" i="3"/>
  <c r="Q25" i="3"/>
  <c r="Q33" i="3"/>
  <c r="Q24" i="3"/>
  <c r="G17" i="3"/>
  <c r="F33" i="3"/>
  <c r="F25" i="3"/>
  <c r="P33" i="3"/>
  <c r="L62" i="12"/>
  <c r="P24" i="3" s="1"/>
  <c r="L41" i="12"/>
  <c r="O31" i="3"/>
  <c r="O23" i="3"/>
  <c r="G34" i="3" l="1"/>
  <c r="Q34" i="3"/>
  <c r="Q26" i="3"/>
  <c r="G26" i="3"/>
  <c r="H25" i="3"/>
  <c r="E33" i="3"/>
  <c r="O25" i="3"/>
  <c r="N33" i="3"/>
  <c r="D25" i="3"/>
  <c r="D33" i="3"/>
  <c r="N25" i="3"/>
  <c r="N23" i="3"/>
  <c r="N31" i="3"/>
  <c r="D23" i="3"/>
  <c r="D31" i="3"/>
  <c r="P23" i="3"/>
  <c r="P26" i="3" s="1"/>
  <c r="P31" i="3"/>
  <c r="F31" i="3"/>
  <c r="F23" i="3"/>
  <c r="D24" i="3"/>
  <c r="D32" i="3"/>
  <c r="N32" i="3"/>
  <c r="N24" i="3"/>
  <c r="O33" i="3"/>
  <c r="E25" i="3"/>
  <c r="H23" i="3"/>
  <c r="D17" i="3"/>
  <c r="R31" i="3"/>
  <c r="R23" i="3"/>
  <c r="R26" i="3" s="1"/>
  <c r="R33" i="3"/>
  <c r="H33" i="3"/>
  <c r="H34" i="3" s="1"/>
  <c r="Q17" i="3"/>
  <c r="F24" i="3"/>
  <c r="P32" i="3"/>
  <c r="F32" i="3"/>
  <c r="O32" i="3"/>
  <c r="O34" i="3" s="1"/>
  <c r="E24" i="3"/>
  <c r="E26" i="3" s="1"/>
  <c r="O24" i="3"/>
  <c r="E32" i="3"/>
  <c r="G40" i="3" l="1"/>
  <c r="G41" i="3" s="1"/>
  <c r="G42" i="3" s="1"/>
  <c r="H26" i="3"/>
  <c r="H40" i="3" s="1"/>
  <c r="H41" i="3" s="1"/>
  <c r="H42" i="3" s="1"/>
  <c r="E34" i="3"/>
  <c r="E40" i="3" s="1"/>
  <c r="E41" i="3" s="1"/>
  <c r="E42" i="3" s="1"/>
  <c r="R34" i="3"/>
  <c r="O26" i="3"/>
  <c r="F34" i="3"/>
  <c r="F26" i="3"/>
  <c r="D34" i="3"/>
  <c r="N26" i="3"/>
  <c r="D26" i="3"/>
  <c r="P34" i="3"/>
  <c r="N34" i="3"/>
  <c r="F40" i="3" l="1"/>
  <c r="F41" i="3" s="1"/>
  <c r="F42" i="3" s="1"/>
  <c r="D40" i="3"/>
  <c r="D41" i="3" s="1"/>
  <c r="D42" i="3" s="1"/>
  <c r="I42" i="3" l="1"/>
  <c r="J12" i="3" s="1"/>
</calcChain>
</file>

<file path=xl/sharedStrings.xml><?xml version="1.0" encoding="utf-8"?>
<sst xmlns="http://schemas.openxmlformats.org/spreadsheetml/2006/main" count="482" uniqueCount="146">
  <si>
    <t>NSW</t>
  </si>
  <si>
    <t>QLD</t>
  </si>
  <si>
    <t>SA</t>
  </si>
  <si>
    <t>TAS</t>
  </si>
  <si>
    <t>VIC</t>
  </si>
  <si>
    <t>Debit energy reallocations</t>
  </si>
  <si>
    <t>Debit swap reallocations</t>
  </si>
  <si>
    <t>Debit cap reallocations</t>
  </si>
  <si>
    <t>Credit energy reallocations</t>
  </si>
  <si>
    <t>Credit swap reallocations</t>
  </si>
  <si>
    <t>Credit cap reallocations</t>
  </si>
  <si>
    <t>Average daily value</t>
  </si>
  <si>
    <t>Participant data</t>
  </si>
  <si>
    <t>Profile by half hour</t>
  </si>
  <si>
    <t>GST</t>
  </si>
  <si>
    <r>
      <t>VEL</t>
    </r>
    <r>
      <rPr>
        <b/>
        <vertAlign val="subscript"/>
        <sz val="10"/>
        <rFont val="Arial"/>
        <family val="2"/>
      </rPr>
      <t>R</t>
    </r>
  </si>
  <si>
    <r>
      <t>VEG</t>
    </r>
    <r>
      <rPr>
        <b/>
        <vertAlign val="subscript"/>
        <sz val="10"/>
        <rFont val="Arial"/>
        <family val="2"/>
      </rPr>
      <t>R</t>
    </r>
  </si>
  <si>
    <t>Debit reallocations</t>
  </si>
  <si>
    <t>Energy</t>
  </si>
  <si>
    <t>Swap</t>
  </si>
  <si>
    <r>
      <t>VRD</t>
    </r>
    <r>
      <rPr>
        <b/>
        <vertAlign val="subscript"/>
        <sz val="10"/>
        <rFont val="Arial"/>
        <family val="2"/>
      </rPr>
      <t>R</t>
    </r>
  </si>
  <si>
    <t>Credit reallocations</t>
  </si>
  <si>
    <r>
      <t>VRC</t>
    </r>
    <r>
      <rPr>
        <b/>
        <vertAlign val="subscript"/>
        <sz val="10"/>
        <rFont val="Arial"/>
        <family val="2"/>
      </rPr>
      <t>R</t>
    </r>
  </si>
  <si>
    <t>Outstandings limit</t>
  </si>
  <si>
    <t>OSL</t>
  </si>
  <si>
    <t>PM</t>
  </si>
  <si>
    <t>MCL</t>
  </si>
  <si>
    <t>Prudential margin</t>
  </si>
  <si>
    <t>Total</t>
  </si>
  <si>
    <r>
      <t>EL</t>
    </r>
    <r>
      <rPr>
        <b/>
        <vertAlign val="subscript"/>
        <sz val="12"/>
        <color indexed="8"/>
        <rFont val="Calibri"/>
        <family val="2"/>
      </rPr>
      <t>R</t>
    </r>
  </si>
  <si>
    <r>
      <t>RD</t>
    </r>
    <r>
      <rPr>
        <b/>
        <vertAlign val="subscript"/>
        <sz val="12"/>
        <color indexed="8"/>
        <rFont val="Calibri"/>
        <family val="2"/>
      </rPr>
      <t>R</t>
    </r>
  </si>
  <si>
    <r>
      <t>RDS</t>
    </r>
    <r>
      <rPr>
        <b/>
        <vertAlign val="subscript"/>
        <sz val="12"/>
        <color indexed="8"/>
        <rFont val="Calibri"/>
        <family val="2"/>
      </rPr>
      <t>R</t>
    </r>
  </si>
  <si>
    <r>
      <t>EG</t>
    </r>
    <r>
      <rPr>
        <b/>
        <vertAlign val="subscript"/>
        <sz val="12"/>
        <color indexed="8"/>
        <rFont val="Calibri"/>
        <family val="2"/>
      </rPr>
      <t>R</t>
    </r>
  </si>
  <si>
    <r>
      <t>RC</t>
    </r>
    <r>
      <rPr>
        <b/>
        <vertAlign val="subscript"/>
        <sz val="12"/>
        <color indexed="8"/>
        <rFont val="Calibri"/>
        <family val="2"/>
      </rPr>
      <t>R</t>
    </r>
  </si>
  <si>
    <r>
      <t>RCS</t>
    </r>
    <r>
      <rPr>
        <b/>
        <vertAlign val="subscript"/>
        <sz val="12"/>
        <color indexed="8"/>
        <rFont val="Calibri"/>
        <family val="2"/>
      </rPr>
      <t>R</t>
    </r>
  </si>
  <si>
    <r>
      <t>EL</t>
    </r>
    <r>
      <rPr>
        <b/>
        <vertAlign val="subscript"/>
        <sz val="12"/>
        <color indexed="8"/>
        <rFont val="Calibri"/>
        <family val="2"/>
      </rPr>
      <t>HH,M,R</t>
    </r>
  </si>
  <si>
    <r>
      <t>EL</t>
    </r>
    <r>
      <rPr>
        <b/>
        <vertAlign val="subscript"/>
        <sz val="12"/>
        <color indexed="8"/>
        <rFont val="Calibri"/>
        <family val="2"/>
      </rPr>
      <t>HH,R</t>
    </r>
  </si>
  <si>
    <r>
      <t>EG</t>
    </r>
    <r>
      <rPr>
        <b/>
        <vertAlign val="subscript"/>
        <sz val="12"/>
        <color indexed="8"/>
        <rFont val="Calibri"/>
        <family val="2"/>
      </rPr>
      <t>HH,M,R</t>
    </r>
  </si>
  <si>
    <r>
      <t>EG</t>
    </r>
    <r>
      <rPr>
        <b/>
        <vertAlign val="subscript"/>
        <sz val="12"/>
        <color indexed="8"/>
        <rFont val="Calibri"/>
        <family val="2"/>
      </rPr>
      <t>HH,R</t>
    </r>
  </si>
  <si>
    <r>
      <t>RD</t>
    </r>
    <r>
      <rPr>
        <b/>
        <vertAlign val="subscript"/>
        <sz val="12"/>
        <color indexed="8"/>
        <rFont val="Calibri"/>
        <family val="2"/>
      </rPr>
      <t>HH,R</t>
    </r>
  </si>
  <si>
    <r>
      <t>RDS</t>
    </r>
    <r>
      <rPr>
        <b/>
        <vertAlign val="subscript"/>
        <sz val="12"/>
        <color indexed="8"/>
        <rFont val="Calibri"/>
        <family val="2"/>
      </rPr>
      <t>HH,R</t>
    </r>
  </si>
  <si>
    <r>
      <t>RC</t>
    </r>
    <r>
      <rPr>
        <b/>
        <vertAlign val="subscript"/>
        <sz val="12"/>
        <color indexed="8"/>
        <rFont val="Calibri"/>
        <family val="2"/>
      </rPr>
      <t>HH,R</t>
    </r>
  </si>
  <si>
    <r>
      <t>RCS</t>
    </r>
    <r>
      <rPr>
        <b/>
        <vertAlign val="subscript"/>
        <sz val="12"/>
        <color indexed="8"/>
        <rFont val="Calibri"/>
        <family val="2"/>
      </rPr>
      <t>HH,R</t>
    </r>
  </si>
  <si>
    <r>
      <t>RD$</t>
    </r>
    <r>
      <rPr>
        <b/>
        <vertAlign val="subscript"/>
        <sz val="12"/>
        <color indexed="8"/>
        <rFont val="Calibri"/>
        <family val="2"/>
      </rPr>
      <t>R</t>
    </r>
  </si>
  <si>
    <r>
      <t>RC$</t>
    </r>
    <r>
      <rPr>
        <b/>
        <vertAlign val="subscript"/>
        <sz val="12"/>
        <color indexed="8"/>
        <rFont val="Calibri"/>
        <family val="2"/>
      </rPr>
      <t>R</t>
    </r>
  </si>
  <si>
    <r>
      <t>VFOSL</t>
    </r>
    <r>
      <rPr>
        <b/>
        <vertAlign val="subscript"/>
        <sz val="12"/>
        <color indexed="8"/>
        <rFont val="Calibri"/>
        <family val="2"/>
      </rPr>
      <t>R</t>
    </r>
  </si>
  <si>
    <r>
      <t>VFPM</t>
    </r>
    <r>
      <rPr>
        <b/>
        <vertAlign val="subscript"/>
        <sz val="12"/>
        <color indexed="8"/>
        <rFont val="Calibri"/>
        <family val="2"/>
      </rPr>
      <t>R</t>
    </r>
  </si>
  <si>
    <r>
      <t>P</t>
    </r>
    <r>
      <rPr>
        <b/>
        <vertAlign val="subscript"/>
        <sz val="12"/>
        <color indexed="8"/>
        <rFont val="Calibri"/>
        <family val="2"/>
      </rPr>
      <t>R</t>
    </r>
  </si>
  <si>
    <t>Dollar Reallocations</t>
  </si>
  <si>
    <r>
      <t>ERL</t>
    </r>
    <r>
      <rPr>
        <b/>
        <vertAlign val="subscript"/>
        <sz val="12"/>
        <color indexed="8"/>
        <rFont val="Calibri"/>
        <family val="2"/>
      </rPr>
      <t>R</t>
    </r>
  </si>
  <si>
    <r>
      <t>RLWP</t>
    </r>
    <r>
      <rPr>
        <b/>
        <vertAlign val="subscript"/>
        <sz val="12"/>
        <color indexed="8"/>
        <rFont val="Calibri"/>
        <family val="2"/>
      </rPr>
      <t>R</t>
    </r>
  </si>
  <si>
    <r>
      <t>PRAF</t>
    </r>
    <r>
      <rPr>
        <b/>
        <vertAlign val="subscript"/>
        <sz val="11"/>
        <color indexed="8"/>
        <rFont val="Calibri"/>
        <family val="2"/>
      </rPr>
      <t>L,R</t>
    </r>
  </si>
  <si>
    <r>
      <t>PRAF</t>
    </r>
    <r>
      <rPr>
        <b/>
        <vertAlign val="subscript"/>
        <sz val="11"/>
        <color indexed="8"/>
        <rFont val="Calibri"/>
        <family val="2"/>
      </rPr>
      <t>G,R</t>
    </r>
  </si>
  <si>
    <r>
      <t>PRAF</t>
    </r>
    <r>
      <rPr>
        <b/>
        <vertAlign val="subscript"/>
        <sz val="11"/>
        <color indexed="8"/>
        <rFont val="Calibri"/>
        <family val="2"/>
      </rPr>
      <t>R,R</t>
    </r>
  </si>
  <si>
    <r>
      <t>RDC</t>
    </r>
    <r>
      <rPr>
        <b/>
        <vertAlign val="subscript"/>
        <sz val="12"/>
        <color indexed="8"/>
        <rFont val="Calibri"/>
        <family val="2"/>
      </rPr>
      <t>R,100</t>
    </r>
  </si>
  <si>
    <r>
      <t>RDC</t>
    </r>
    <r>
      <rPr>
        <b/>
        <vertAlign val="subscript"/>
        <sz val="12"/>
        <color indexed="8"/>
        <rFont val="Calibri"/>
        <family val="2"/>
      </rPr>
      <t>R,200</t>
    </r>
  </si>
  <si>
    <r>
      <t>RDC</t>
    </r>
    <r>
      <rPr>
        <b/>
        <vertAlign val="subscript"/>
        <sz val="12"/>
        <color indexed="8"/>
        <rFont val="Calibri"/>
        <family val="2"/>
      </rPr>
      <t>R,300</t>
    </r>
  </si>
  <si>
    <r>
      <t>RCC</t>
    </r>
    <r>
      <rPr>
        <b/>
        <vertAlign val="subscript"/>
        <sz val="12"/>
        <color indexed="8"/>
        <rFont val="Calibri"/>
        <family val="2"/>
      </rPr>
      <t>R,100</t>
    </r>
  </si>
  <si>
    <r>
      <t>RCC</t>
    </r>
    <r>
      <rPr>
        <b/>
        <vertAlign val="subscript"/>
        <sz val="12"/>
        <color indexed="8"/>
        <rFont val="Calibri"/>
        <family val="2"/>
      </rPr>
      <t>R,200</t>
    </r>
  </si>
  <si>
    <r>
      <t>RCC</t>
    </r>
    <r>
      <rPr>
        <b/>
        <vertAlign val="subscript"/>
        <sz val="12"/>
        <color indexed="8"/>
        <rFont val="Calibri"/>
        <family val="2"/>
      </rPr>
      <t>R,300</t>
    </r>
  </si>
  <si>
    <r>
      <t>RDC</t>
    </r>
    <r>
      <rPr>
        <b/>
        <vertAlign val="subscript"/>
        <sz val="12"/>
        <color indexed="8"/>
        <rFont val="Calibri"/>
        <family val="2"/>
      </rPr>
      <t>HH,R,100</t>
    </r>
  </si>
  <si>
    <r>
      <t>RDC</t>
    </r>
    <r>
      <rPr>
        <b/>
        <vertAlign val="subscript"/>
        <sz val="12"/>
        <color indexed="8"/>
        <rFont val="Calibri"/>
        <family val="2"/>
      </rPr>
      <t>HH,R,200</t>
    </r>
  </si>
  <si>
    <r>
      <t>RDC</t>
    </r>
    <r>
      <rPr>
        <b/>
        <vertAlign val="subscript"/>
        <sz val="12"/>
        <color indexed="8"/>
        <rFont val="Calibri"/>
        <family val="2"/>
      </rPr>
      <t>HH,R,300</t>
    </r>
  </si>
  <si>
    <r>
      <t>RCC</t>
    </r>
    <r>
      <rPr>
        <b/>
        <vertAlign val="subscript"/>
        <sz val="12"/>
        <color indexed="8"/>
        <rFont val="Calibri"/>
        <family val="2"/>
      </rPr>
      <t>HH,R,100</t>
    </r>
  </si>
  <si>
    <r>
      <t>RCC</t>
    </r>
    <r>
      <rPr>
        <b/>
        <vertAlign val="subscript"/>
        <sz val="12"/>
        <color indexed="8"/>
        <rFont val="Calibri"/>
        <family val="2"/>
      </rPr>
      <t>HH,R,200</t>
    </r>
  </si>
  <si>
    <r>
      <t>RCC</t>
    </r>
    <r>
      <rPr>
        <b/>
        <vertAlign val="subscript"/>
        <sz val="12"/>
        <color indexed="8"/>
        <rFont val="Calibri"/>
        <family val="2"/>
      </rPr>
      <t>HH,R,300</t>
    </r>
  </si>
  <si>
    <t>Net Swap</t>
  </si>
  <si>
    <t>Net Cap100</t>
  </si>
  <si>
    <r>
      <t>LWPR</t>
    </r>
    <r>
      <rPr>
        <b/>
        <vertAlign val="subscript"/>
        <sz val="11"/>
        <color indexed="63"/>
        <rFont val="Arial"/>
        <family val="2"/>
      </rPr>
      <t>L,R</t>
    </r>
  </si>
  <si>
    <r>
      <t>LWPR</t>
    </r>
    <r>
      <rPr>
        <b/>
        <vertAlign val="subscript"/>
        <sz val="11"/>
        <color indexed="63"/>
        <rFont val="Arial"/>
        <family val="2"/>
      </rPr>
      <t>G,R</t>
    </r>
  </si>
  <si>
    <r>
      <t>ERL</t>
    </r>
    <r>
      <rPr>
        <b/>
        <vertAlign val="subscript"/>
        <sz val="18"/>
        <color indexed="8"/>
        <rFont val="Calibri"/>
        <family val="2"/>
      </rPr>
      <t>HH,R</t>
    </r>
  </si>
  <si>
    <r>
      <t>P</t>
    </r>
    <r>
      <rPr>
        <b/>
        <vertAlign val="subscript"/>
        <sz val="18"/>
        <color indexed="8"/>
        <rFont val="Calibri"/>
        <family val="2"/>
      </rPr>
      <t>HH,R</t>
    </r>
  </si>
  <si>
    <t>Cap100</t>
  </si>
  <si>
    <t>Cap200</t>
  </si>
  <si>
    <t>Cap300</t>
  </si>
  <si>
    <r>
      <t xml:space="preserve">Profile </t>
    </r>
    <r>
      <rPr>
        <b/>
        <sz val="12"/>
        <color indexed="8"/>
        <rFont val="Arial"/>
        <family val="2"/>
      </rPr>
      <t>½</t>
    </r>
    <r>
      <rPr>
        <b/>
        <sz val="12"/>
        <color indexed="8"/>
        <rFont val="Calibri"/>
        <family val="2"/>
      </rPr>
      <t xml:space="preserve"> hr</t>
    </r>
  </si>
  <si>
    <r>
      <t>LWPR</t>
    </r>
    <r>
      <rPr>
        <b/>
        <vertAlign val="subscript"/>
        <sz val="11"/>
        <color indexed="63"/>
        <rFont val="Arial"/>
        <family val="2"/>
      </rPr>
      <t>R,R</t>
    </r>
  </si>
  <si>
    <r>
      <t>LWPR</t>
    </r>
    <r>
      <rPr>
        <b/>
        <vertAlign val="subscript"/>
        <sz val="11"/>
        <color indexed="63"/>
        <rFont val="Arial"/>
        <family val="2"/>
      </rPr>
      <t>R,R,300</t>
    </r>
  </si>
  <si>
    <r>
      <t>PRAF</t>
    </r>
    <r>
      <rPr>
        <b/>
        <vertAlign val="subscript"/>
        <sz val="12"/>
        <color indexed="8"/>
        <rFont val="Calibri"/>
        <family val="2"/>
      </rPr>
      <t>R,R,300</t>
    </r>
  </si>
  <si>
    <r>
      <t>PRAF</t>
    </r>
    <r>
      <rPr>
        <b/>
        <vertAlign val="subscript"/>
        <sz val="12"/>
        <color indexed="8"/>
        <rFont val="Calibri"/>
        <family val="2"/>
      </rPr>
      <t>R,R,200</t>
    </r>
  </si>
  <si>
    <r>
      <t>LWPR</t>
    </r>
    <r>
      <rPr>
        <b/>
        <vertAlign val="subscript"/>
        <sz val="11"/>
        <color indexed="63"/>
        <rFont val="Arial"/>
        <family val="2"/>
      </rPr>
      <t>R,R,100</t>
    </r>
  </si>
  <si>
    <r>
      <t>LWPR</t>
    </r>
    <r>
      <rPr>
        <b/>
        <vertAlign val="subscript"/>
        <sz val="11"/>
        <color indexed="63"/>
        <rFont val="Arial"/>
        <family val="2"/>
      </rPr>
      <t>R,R,200</t>
    </r>
  </si>
  <si>
    <r>
      <t>PRAF</t>
    </r>
    <r>
      <rPr>
        <b/>
        <vertAlign val="subscript"/>
        <sz val="12"/>
        <color indexed="8"/>
        <rFont val="Calibri"/>
        <family val="2"/>
      </rPr>
      <t>R,R,100</t>
    </r>
  </si>
  <si>
    <t>Net Cap200</t>
  </si>
  <si>
    <t>Net Cap300</t>
  </si>
  <si>
    <r>
      <t xml:space="preserve">Profile </t>
    </r>
    <r>
      <rPr>
        <b/>
        <sz val="12"/>
        <color indexed="8"/>
        <rFont val="Arial"/>
        <family val="2"/>
      </rPr>
      <t>½</t>
    </r>
    <r>
      <rPr>
        <b/>
        <sz val="12"/>
        <color indexed="8"/>
        <rFont val="Calibri"/>
        <family val="2"/>
      </rPr>
      <t>hr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</si>
  <si>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</si>
  <si>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</si>
  <si>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</si>
  <si>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r>
      <t>P</t>
    </r>
    <r>
      <rPr>
        <b/>
        <vertAlign val="subscript"/>
        <sz val="18"/>
        <color indexed="8"/>
        <rFont val="Calibri"/>
        <family val="2"/>
      </rPr>
      <t>HH,R,100</t>
    </r>
  </si>
  <si>
    <r>
      <t>P</t>
    </r>
    <r>
      <rPr>
        <b/>
        <vertAlign val="subscript"/>
        <sz val="18"/>
        <color indexed="8"/>
        <rFont val="Calibri"/>
        <family val="2"/>
      </rPr>
      <t>HH,R,200</t>
    </r>
  </si>
  <si>
    <r>
      <t>P</t>
    </r>
    <r>
      <rPr>
        <b/>
        <vertAlign val="subscript"/>
        <sz val="18"/>
        <color indexed="8"/>
        <rFont val="Calibri"/>
        <family val="2"/>
      </rPr>
      <t>HH,R,300</t>
    </r>
  </si>
  <si>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</si>
  <si>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</si>
  <si>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</si>
  <si>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r>
      <t>VFOSL</t>
    </r>
    <r>
      <rPr>
        <b/>
        <vertAlign val="subscript"/>
        <sz val="11"/>
        <color indexed="8"/>
        <rFont val="Calibri"/>
        <family val="2"/>
      </rPr>
      <t>R</t>
    </r>
  </si>
  <si>
    <r>
      <t>VFPM</t>
    </r>
    <r>
      <rPr>
        <b/>
        <vertAlign val="subscript"/>
        <sz val="11"/>
        <color indexed="8"/>
        <rFont val="Calibri"/>
        <family val="2"/>
      </rPr>
      <t>R</t>
    </r>
  </si>
  <si>
    <t>These parameters can be changed to understand impact of differing VFs</t>
  </si>
  <si>
    <t>These parameters can be changed to understand the impact of differing prices</t>
  </si>
  <si>
    <r>
      <t>PLWP</t>
    </r>
    <r>
      <rPr>
        <b/>
        <vertAlign val="subscript"/>
        <sz val="11"/>
        <color indexed="63"/>
        <rFont val="Arial"/>
        <family val="2"/>
      </rPr>
      <t>R</t>
    </r>
  </si>
  <si>
    <r>
      <t>PGWP</t>
    </r>
    <r>
      <rPr>
        <b/>
        <vertAlign val="subscript"/>
        <sz val="11"/>
        <color indexed="63"/>
        <rFont val="Arial"/>
        <family val="2"/>
      </rPr>
      <t>R</t>
    </r>
  </si>
  <si>
    <r>
      <t>PRWP</t>
    </r>
    <r>
      <rPr>
        <b/>
        <vertAlign val="subscript"/>
        <sz val="11"/>
        <color indexed="63"/>
        <rFont val="Arial"/>
        <family val="2"/>
      </rPr>
      <t>R</t>
    </r>
  </si>
  <si>
    <r>
      <t>PLWP</t>
    </r>
    <r>
      <rPr>
        <b/>
        <vertAlign val="subscript"/>
        <sz val="11"/>
        <color indexed="63"/>
        <rFont val="Arial"/>
        <family val="2"/>
      </rPr>
      <t>R,100</t>
    </r>
  </si>
  <si>
    <r>
      <t>PLWP</t>
    </r>
    <r>
      <rPr>
        <vertAlign val="subscript"/>
        <sz val="11"/>
        <color indexed="63"/>
        <rFont val="Arial"/>
        <family val="2"/>
      </rPr>
      <t>R,200</t>
    </r>
  </si>
  <si>
    <r>
      <t>PLWP</t>
    </r>
    <r>
      <rPr>
        <b/>
        <vertAlign val="subscript"/>
        <sz val="11"/>
        <color indexed="63"/>
        <rFont val="Arial"/>
        <family val="2"/>
      </rPr>
      <t>R,300</t>
    </r>
  </si>
  <si>
    <t>Version No</t>
  </si>
  <si>
    <t>Change Description</t>
  </si>
  <si>
    <t>Date</t>
  </si>
  <si>
    <t>Notes</t>
  </si>
  <si>
    <t>Disclaimer</t>
  </si>
  <si>
    <t xml:space="preserve">This calculator is made available to you on the following basis: </t>
  </si>
  <si>
    <t xml:space="preserve">     the exclusion of such liability, AEMO’s liability is limited, at AEMO’s option, to the re-supply of the information, provided that this limitation is permitted by law and is fair and reasonable.</t>
  </si>
  <si>
    <t>(a) Purpose – This calculator has been produced by the Australian Energy Market Operator Limited (AEMO) to provide information about the calculation of maximum credit limits in the National Electricity Market as at the date of publication.</t>
  </si>
  <si>
    <t>The calculator is used by entering values into the orange shaded cells. All other cells are locked.</t>
  </si>
  <si>
    <t xml:space="preserve">(b) No substitute – This calculator is not a substitute for, and should not be read in lieu of, the National Electricity Law (NEL), the National Electricity Rules (Rules) or any other relevant laws, codes, rules, procedures or policies. Further, this calculator does not constitute </t>
  </si>
  <si>
    <t xml:space="preserve">      legal or business advice and should not be relied on as a substitute for obtaining detailed advice about the NEL, the Rules, or any other relevant laws, codes, rules, procedures or policies, or any aspect of the national electricity market or the electricity industry.</t>
  </si>
  <si>
    <t xml:space="preserve">(d) Limitation of liability - To the extent permitted by law, AEMO and its advisers, consultants and other contributors to this calculator (or their respective associated companies, businesses, partners, directors, officers or employees) shall not be liable for any errors, </t>
  </si>
  <si>
    <t xml:space="preserve">      omissions, defects or misrepresentations in the information contained in this calculator, or for any loss or damage suffered by persons who use or rely on such information (including by reason of negligence, negligent misstatement or otherwise). If any law prohibits </t>
  </si>
  <si>
    <r>
      <t>VEL</t>
    </r>
    <r>
      <rPr>
        <b/>
        <vertAlign val="subscript"/>
        <sz val="11"/>
        <rFont val="Calibri"/>
        <family val="2"/>
        <scheme val="minor"/>
      </rPr>
      <t>R</t>
    </r>
  </si>
  <si>
    <r>
      <t>VEG</t>
    </r>
    <r>
      <rPr>
        <b/>
        <vertAlign val="subscript"/>
        <sz val="11"/>
        <rFont val="Calibri"/>
        <family val="2"/>
        <scheme val="minor"/>
      </rPr>
      <t>R</t>
    </r>
  </si>
  <si>
    <r>
      <t>VRD</t>
    </r>
    <r>
      <rPr>
        <b/>
        <vertAlign val="subscript"/>
        <sz val="11"/>
        <rFont val="Calibri"/>
        <family val="2"/>
        <scheme val="minor"/>
      </rPr>
      <t>R</t>
    </r>
  </si>
  <si>
    <r>
      <t>VRC</t>
    </r>
    <r>
      <rPr>
        <b/>
        <vertAlign val="subscript"/>
        <sz val="11"/>
        <rFont val="Calibri"/>
        <family val="2"/>
        <scheme val="minor"/>
      </rPr>
      <t>R</t>
    </r>
  </si>
  <si>
    <r>
      <t>RD$</t>
    </r>
    <r>
      <rPr>
        <b/>
        <vertAlign val="subscript"/>
        <sz val="11"/>
        <rFont val="Calibri"/>
        <family val="2"/>
        <scheme val="minor"/>
      </rPr>
      <t>R</t>
    </r>
  </si>
  <si>
    <r>
      <t>RC$</t>
    </r>
    <r>
      <rPr>
        <b/>
        <vertAlign val="subscript"/>
        <sz val="11"/>
        <rFont val="Calibri"/>
        <family val="2"/>
        <scheme val="minor"/>
      </rPr>
      <t>R</t>
    </r>
  </si>
  <si>
    <r>
      <t>OSL</t>
    </r>
    <r>
      <rPr>
        <b/>
        <vertAlign val="subscript"/>
        <sz val="11"/>
        <color indexed="8"/>
        <rFont val="Calibri"/>
        <family val="2"/>
        <scheme val="minor"/>
      </rPr>
      <t>R,U</t>
    </r>
  </si>
  <si>
    <r>
      <t>OSL</t>
    </r>
    <r>
      <rPr>
        <b/>
        <vertAlign val="subscript"/>
        <sz val="11"/>
        <color indexed="8"/>
        <rFont val="Calibri"/>
        <family val="2"/>
        <scheme val="minor"/>
      </rPr>
      <t>R,I</t>
    </r>
  </si>
  <si>
    <t>These parameters reflect values entered in worksheet RegionalData</t>
  </si>
  <si>
    <t>This calculator can be used to simulate the MCL , OSL and PM values with different input values. It can be used to assist participants in managing their prudential requirements, including the management of reallocation requests.</t>
  </si>
  <si>
    <t>MCL, OSL and PM values calculated are not rounded. However the Credit Limits Procedure defines rounding, and AEMO applies this as part of it's review.</t>
  </si>
  <si>
    <t>The values in this calculator have been amended for the carbon price adjustment.</t>
  </si>
  <si>
    <t>Estimated load</t>
  </si>
  <si>
    <t>Estimated generation</t>
  </si>
  <si>
    <t>Average daily regional load</t>
  </si>
  <si>
    <t>Average regional price</t>
  </si>
  <si>
    <t>Regional load weighted price</t>
  </si>
  <si>
    <t>Outstandings limit volatility factor</t>
  </si>
  <si>
    <t>Prudential margin volatility factor</t>
  </si>
  <si>
    <r>
      <t>Swap price (debit) (PDS</t>
    </r>
    <r>
      <rPr>
        <vertAlign val="subscript"/>
        <sz val="11"/>
        <color theme="1"/>
        <rFont val="Calibri"/>
        <family val="2"/>
      </rPr>
      <t>R</t>
    </r>
    <r>
      <rPr>
        <sz val="11"/>
        <color theme="1"/>
        <rFont val="Calibri"/>
        <family val="2"/>
      </rPr>
      <t>)</t>
    </r>
  </si>
  <si>
    <r>
      <t>Swap price (credit) (PCS</t>
    </r>
    <r>
      <rPr>
        <vertAlign val="subscript"/>
        <sz val="11"/>
        <color theme="1"/>
        <rFont val="Calibri"/>
        <family val="2"/>
      </rPr>
      <t>R</t>
    </r>
    <r>
      <rPr>
        <sz val="11"/>
        <color theme="1"/>
        <rFont val="Calibri"/>
        <family val="2"/>
      </rPr>
      <t>)</t>
    </r>
  </si>
  <si>
    <t>Regional data Summer 2017</t>
  </si>
  <si>
    <t>First version for Summer 2017.</t>
  </si>
  <si>
    <t>No</t>
  </si>
  <si>
    <t>Calculate with 
PM Offset?</t>
  </si>
  <si>
    <r>
      <t>PM</t>
    </r>
    <r>
      <rPr>
        <b/>
        <vertAlign val="subscript"/>
        <sz val="11"/>
        <color indexed="8"/>
        <rFont val="Calibri"/>
        <family val="2"/>
      </rPr>
      <t>R,</t>
    </r>
  </si>
  <si>
    <t xml:space="preserve">       purposes of the information provided by this calculator.  </t>
  </si>
  <si>
    <t xml:space="preserve">(c) No Warranty – While AEMO has used due care and skill in the production of this calculator, neither AEMO, nor any of its employees, agents and consultants make any representation or warranty as to the accuracy, reliability, completeness or suitability for particular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</si>
</sst>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font>
    <font>
      <b/>
      <vertAlign val="subscript"/>
      <sz val="10"/>
      <name val="Arial"/>
      <family val="2"/>
    </font>
    <font>
      <b/>
      <vertAlign val="subscript"/>
      <sz val="12"/>
      <color indexed="8"/>
      <name val="Calibri"/>
      <family val="2"/>
    </font>
    <font>
      <b/>
      <vertAlign val="subscript"/>
      <sz val="11"/>
      <color indexed="8"/>
      <name val="Calibri"/>
      <family val="2"/>
    </font>
    <font>
      <b/>
      <sz val="12"/>
      <color indexed="8"/>
      <name val="Calibri"/>
      <family val="2"/>
    </font>
    <font>
      <b/>
      <vertAlign val="subscript"/>
      <sz val="11"/>
      <color indexed="63"/>
      <name val="Arial"/>
      <family val="2"/>
    </font>
    <font>
      <b/>
      <vertAlign val="subscript"/>
      <sz val="18"/>
      <color indexed="8"/>
      <name val="Calibri"/>
      <family val="2"/>
    </font>
    <font>
      <b/>
      <sz val="12"/>
      <color indexed="8"/>
      <name val="Arial"/>
      <family val="2"/>
    </font>
    <font>
      <vertAlign val="subscript"/>
      <sz val="11"/>
      <color indexed="63"/>
      <name val="Arial"/>
      <family val="2"/>
    </font>
    <font>
      <b/>
      <vertAlign val="subscript"/>
      <sz val="11"/>
      <name val="Arial"/>
      <family val="2"/>
    </font>
    <font>
      <sz val="11"/>
      <color theme="1"/>
      <name val="Calibri"/>
      <family val="2"/>
    </font>
    <font>
      <b/>
      <sz val="11"/>
      <color rgb="FF3F3F3F"/>
      <name val="Arial"/>
      <family val="2"/>
    </font>
    <font>
      <b/>
      <sz val="11"/>
      <color theme="1"/>
      <name val="Arial"/>
      <family val="2"/>
    </font>
    <font>
      <b/>
      <sz val="12"/>
      <color theme="1"/>
      <name val="Calibri"/>
      <family val="2"/>
    </font>
    <font>
      <i/>
      <sz val="11"/>
      <color theme="8" tint="-0.249977111117893"/>
      <name val="Calibri"/>
      <family val="2"/>
    </font>
    <font>
      <b/>
      <sz val="11"/>
      <color theme="1"/>
      <name val="Calibri"/>
      <family val="2"/>
    </font>
    <font>
      <b/>
      <sz val="11"/>
      <color theme="0"/>
      <name val="Calibri"/>
      <family val="2"/>
    </font>
    <font>
      <b/>
      <sz val="14"/>
      <color theme="0"/>
      <name val="Calibri"/>
      <family val="2"/>
    </font>
    <font>
      <sz val="20"/>
      <color theme="1"/>
      <name val="Calibri"/>
      <family val="2"/>
    </font>
    <font>
      <b/>
      <sz val="16"/>
      <color theme="1"/>
      <name val="Calibri"/>
      <family val="2"/>
    </font>
    <font>
      <b/>
      <sz val="20"/>
      <color theme="0"/>
      <name val="Calibri"/>
      <family val="2"/>
    </font>
    <font>
      <b/>
      <sz val="20"/>
      <color theme="1"/>
      <name val="Calibri"/>
      <family val="2"/>
    </font>
    <font>
      <sz val="12"/>
      <color theme="1"/>
      <name val="Calibri"/>
      <family val="2"/>
    </font>
    <font>
      <b/>
      <sz val="24"/>
      <color theme="1"/>
      <name val="Calibri"/>
      <family val="2"/>
    </font>
    <font>
      <b/>
      <sz val="26"/>
      <color theme="1"/>
      <name val="Calibri"/>
      <family val="2"/>
    </font>
    <font>
      <sz val="10"/>
      <color theme="1"/>
      <name val="Calibri"/>
      <family val="2"/>
    </font>
    <font>
      <b/>
      <sz val="28"/>
      <color theme="1"/>
      <name val="Calibri"/>
      <family val="2"/>
    </font>
    <font>
      <b/>
      <sz val="24"/>
      <color theme="0"/>
      <name val="Calibri"/>
      <family val="2"/>
    </font>
    <font>
      <b/>
      <sz val="18"/>
      <color theme="1"/>
      <name val="Calibri"/>
      <family val="2"/>
    </font>
    <font>
      <b/>
      <sz val="48"/>
      <color theme="1"/>
      <name val="Calibri"/>
      <family val="2"/>
    </font>
    <font>
      <b/>
      <i/>
      <sz val="11"/>
      <color theme="8" tint="-0.249977111117893"/>
      <name val="Calibri"/>
      <family val="2"/>
    </font>
    <font>
      <b/>
      <i/>
      <sz val="12"/>
      <color theme="8" tint="-0.249977111117893"/>
      <name val="Calibri"/>
      <family val="2"/>
    </font>
    <font>
      <u/>
      <sz val="11"/>
      <color theme="10"/>
      <name val="Calibri"/>
      <family val="2"/>
    </font>
    <font>
      <b/>
      <sz val="10"/>
      <color theme="1"/>
      <name val="Calibri"/>
      <family val="2"/>
    </font>
    <font>
      <u/>
      <sz val="18"/>
      <color theme="10"/>
      <name val="Calibri"/>
      <family val="2"/>
    </font>
    <font>
      <sz val="11"/>
      <color theme="1"/>
      <name val="Calibri"/>
      <family val="2"/>
      <scheme val="minor"/>
    </font>
    <font>
      <b/>
      <sz val="11"/>
      <color theme="1"/>
      <name val="Calibri"/>
      <family val="2"/>
      <scheme val="minor"/>
    </font>
    <font>
      <b/>
      <vertAlign val="subscript"/>
      <sz val="11"/>
      <name val="Calibri"/>
      <family val="2"/>
      <scheme val="minor"/>
    </font>
    <font>
      <b/>
      <vertAlign val="subscript"/>
      <sz val="11"/>
      <color indexed="8"/>
      <name val="Calibri"/>
      <family val="2"/>
      <scheme val="minor"/>
    </font>
    <font>
      <vertAlign val="subscript"/>
      <sz val="11"/>
      <color theme="1"/>
      <name val="Calibri"/>
      <family val="2"/>
    </font>
    <font>
      <b/>
      <vertAlign val="subscript"/>
      <sz val="14"/>
      <color indexed="8"/>
      <name val="Calibri"/>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theme="8" tint="0.59996337778862885"/>
        <bgColor indexed="64"/>
      </patternFill>
    </fill>
    <fill>
      <patternFill patternType="solid">
        <fgColor theme="8"/>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6337778862885"/>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hair">
        <color rgb="FF3F3F3F"/>
      </left>
      <right style="medium">
        <color indexed="64"/>
      </right>
      <top style="medium">
        <color indexed="64"/>
      </top>
      <bottom style="hair">
        <color rgb="FF3F3F3F"/>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hair">
        <color rgb="FF3F3F3F"/>
      </left>
      <right style="medium">
        <color indexed="64"/>
      </right>
      <top style="hair">
        <color rgb="FF3F3F3F"/>
      </top>
      <bottom style="hair">
        <color rgb="FF3F3F3F"/>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hair">
        <color rgb="FF3F3F3F"/>
      </left>
      <right style="medium">
        <color indexed="64"/>
      </right>
      <top style="hair">
        <color rgb="FF3F3F3F"/>
      </top>
      <bottom style="medium">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style="thin">
        <color rgb="FF3F3F3F"/>
      </right>
      <top style="medium">
        <color indexed="64"/>
      </top>
      <bottom/>
      <diagonal/>
    </border>
    <border>
      <left style="medium">
        <color indexed="64"/>
      </left>
      <right style="thin">
        <color rgb="FF3F3F3F"/>
      </right>
      <top/>
      <bottom/>
      <diagonal/>
    </border>
    <border>
      <left style="medium">
        <color indexed="64"/>
      </left>
      <right style="thin">
        <color rgb="FF3F3F3F"/>
      </right>
      <top/>
      <bottom style="medium">
        <color indexed="64"/>
      </bottom>
      <diagonal/>
    </border>
    <border>
      <left/>
      <right style="thin">
        <color rgb="FF3F3F3F"/>
      </right>
      <top/>
      <bottom style="medium">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s>
  <cellStyleXfs count="5">
    <xf numFmtId="0" fontId="0" fillId="0" borderId="0"/>
    <xf numFmtId="0" fontId="10" fillId="0" borderId="0"/>
    <xf numFmtId="0" fontId="11" fillId="2" borderId="17" applyNumberFormat="0" applyAlignment="0" applyProtection="0"/>
    <xf numFmtId="9" fontId="10" fillId="0" borderId="0" applyFont="0" applyFill="0" applyBorder="0" applyAlignment="0" applyProtection="0"/>
    <xf numFmtId="0" fontId="32" fillId="0" borderId="0" applyNumberFormat="0" applyFill="0" applyBorder="0" applyAlignment="0" applyProtection="0"/>
  </cellStyleXfs>
  <cellXfs count="207">
    <xf numFmtId="0" fontId="0" fillId="0" borderId="0" xfId="0"/>
    <xf numFmtId="0" fontId="0" fillId="0" borderId="0" xfId="0" applyFill="1"/>
    <xf numFmtId="0" fontId="0" fillId="0" borderId="0" xfId="0" applyAlignment="1"/>
    <xf numFmtId="0" fontId="0" fillId="0" borderId="0" xfId="0" applyAlignment="1">
      <alignment vertical="center"/>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applyBorder="1"/>
    <xf numFmtId="4" fontId="0" fillId="0" borderId="0" xfId="0" applyNumberFormat="1" applyBorder="1"/>
    <xf numFmtId="3" fontId="0" fillId="0" borderId="4" xfId="0" applyNumberFormat="1" applyBorder="1"/>
    <xf numFmtId="3" fontId="13" fillId="4" borderId="1" xfId="0" applyNumberFormat="1" applyFont="1" applyFill="1" applyBorder="1"/>
    <xf numFmtId="3" fontId="13" fillId="4" borderId="2" xfId="0" applyNumberFormat="1" applyFont="1" applyFill="1" applyBorder="1"/>
    <xf numFmtId="3" fontId="13" fillId="4" borderId="5" xfId="0" applyNumberFormat="1" applyFont="1" applyFill="1" applyBorder="1"/>
    <xf numFmtId="3" fontId="13" fillId="4" borderId="6" xfId="0" applyNumberFormat="1" applyFont="1" applyFill="1" applyBorder="1"/>
    <xf numFmtId="3" fontId="13" fillId="4" borderId="7" xfId="0" applyNumberFormat="1" applyFont="1" applyFill="1" applyBorder="1"/>
    <xf numFmtId="3" fontId="13" fillId="4" borderId="8" xfId="0" applyNumberFormat="1" applyFont="1" applyFill="1" applyBorder="1"/>
    <xf numFmtId="3" fontId="13" fillId="4" borderId="3" xfId="0" applyNumberFormat="1" applyFont="1" applyFill="1" applyBorder="1"/>
    <xf numFmtId="3" fontId="13" fillId="4" borderId="0" xfId="0" applyNumberFormat="1" applyFont="1" applyFill="1" applyBorder="1"/>
    <xf numFmtId="3" fontId="13" fillId="4" borderId="9" xfId="0" applyNumberFormat="1" applyFont="1" applyFill="1" applyBorder="1"/>
    <xf numFmtId="3" fontId="13" fillId="4" borderId="10" xfId="0" applyNumberFormat="1" applyFont="1" applyFill="1" applyBorder="1"/>
    <xf numFmtId="3" fontId="13" fillId="4" borderId="4" xfId="0" applyNumberFormat="1" applyFont="1" applyFill="1" applyBorder="1"/>
    <xf numFmtId="3" fontId="13" fillId="4" borderId="11" xfId="0" applyNumberFormat="1" applyFont="1" applyFill="1" applyBorder="1"/>
    <xf numFmtId="2" fontId="13" fillId="0" borderId="1" xfId="0" applyNumberFormat="1" applyFont="1" applyFill="1" applyBorder="1"/>
    <xf numFmtId="2" fontId="13" fillId="0" borderId="2" xfId="0" applyNumberFormat="1" applyFont="1" applyFill="1" applyBorder="1"/>
    <xf numFmtId="2" fontId="13" fillId="0" borderId="5" xfId="0" applyNumberFormat="1" applyFont="1" applyFill="1" applyBorder="1"/>
    <xf numFmtId="4" fontId="0" fillId="0" borderId="0" xfId="0" applyNumberFormat="1" applyFill="1" applyBorder="1"/>
    <xf numFmtId="0" fontId="14" fillId="0" borderId="0" xfId="0" applyFont="1" applyAlignment="1">
      <alignment vertical="center"/>
    </xf>
    <xf numFmtId="0" fontId="0" fillId="0" borderId="0" xfId="0" applyAlignment="1">
      <alignment horizontal="right"/>
    </xf>
    <xf numFmtId="0" fontId="0" fillId="0" borderId="3" xfId="0" applyBorder="1"/>
    <xf numFmtId="0" fontId="0" fillId="0" borderId="9" xfId="0" applyBorder="1"/>
    <xf numFmtId="0" fontId="0" fillId="0" borderId="3" xfId="0" applyBorder="1" applyAlignment="1">
      <alignment horizontal="right"/>
    </xf>
    <xf numFmtId="0" fontId="15" fillId="0" borderId="3" xfId="0" applyFont="1" applyBorder="1" applyAlignment="1"/>
    <xf numFmtId="0" fontId="0" fillId="0" borderId="0" xfId="0" applyBorder="1"/>
    <xf numFmtId="0" fontId="0" fillId="0" borderId="10" xfId="0" applyBorder="1"/>
    <xf numFmtId="0" fontId="0" fillId="0" borderId="4" xfId="0" applyBorder="1"/>
    <xf numFmtId="0" fontId="0" fillId="0" borderId="11" xfId="0" applyBorder="1"/>
    <xf numFmtId="0" fontId="0" fillId="0" borderId="7" xfId="0" applyBorder="1" applyAlignment="1">
      <alignment horizontal="center"/>
    </xf>
    <xf numFmtId="0" fontId="0" fillId="0" borderId="7" xfId="0" applyBorder="1" applyAlignment="1"/>
    <xf numFmtId="0" fontId="0" fillId="0" borderId="8" xfId="0" applyBorder="1" applyAlignment="1"/>
    <xf numFmtId="0" fontId="0" fillId="0" borderId="6" xfId="0" applyBorder="1"/>
    <xf numFmtId="0" fontId="0" fillId="0" borderId="8" xfId="0" applyBorder="1"/>
    <xf numFmtId="0" fontId="0" fillId="0" borderId="0" xfId="0" applyBorder="1" applyAlignment="1">
      <alignment horizontal="right"/>
    </xf>
    <xf numFmtId="0" fontId="16" fillId="0" borderId="3" xfId="0" applyFont="1" applyFill="1" applyBorder="1"/>
    <xf numFmtId="0" fontId="17" fillId="0" borderId="0" xfId="0" applyFont="1" applyFill="1" applyBorder="1" applyAlignment="1">
      <alignment horizontal="centerContinuous"/>
    </xf>
    <xf numFmtId="0" fontId="16" fillId="0" borderId="0" xfId="0" applyFont="1" applyFill="1" applyBorder="1" applyAlignment="1">
      <alignment horizontal="centerContinuous"/>
    </xf>
    <xf numFmtId="0" fontId="16" fillId="0" borderId="9" xfId="0" applyFont="1" applyFill="1" applyBorder="1"/>
    <xf numFmtId="0" fontId="0" fillId="0" borderId="0" xfId="0" applyBorder="1" applyAlignment="1">
      <alignment horizontal="center"/>
    </xf>
    <xf numFmtId="0" fontId="15" fillId="0" borderId="0" xfId="0" applyFont="1" applyBorder="1" applyAlignment="1">
      <alignment horizontal="right"/>
    </xf>
    <xf numFmtId="0" fontId="18" fillId="0" borderId="0" xfId="0" applyFont="1"/>
    <xf numFmtId="0" fontId="0" fillId="0" borderId="0" xfId="0" applyAlignment="1">
      <alignment horizontal="center"/>
    </xf>
    <xf numFmtId="0" fontId="0" fillId="0" borderId="7" xfId="0" applyBorder="1"/>
    <xf numFmtId="3" fontId="18" fillId="0" borderId="0" xfId="0" applyNumberFormat="1" applyFont="1" applyBorder="1"/>
    <xf numFmtId="0" fontId="17" fillId="0" borderId="0" xfId="0" applyFont="1" applyFill="1" applyBorder="1" applyAlignment="1">
      <alignment horizontal="right"/>
    </xf>
    <xf numFmtId="0" fontId="15" fillId="0" borderId="4" xfId="0" applyFont="1" applyBorder="1" applyAlignment="1">
      <alignment horizontal="right"/>
    </xf>
    <xf numFmtId="0" fontId="19" fillId="0" borderId="7" xfId="0" applyFont="1" applyBorder="1" applyAlignment="1">
      <alignment horizontal="right"/>
    </xf>
    <xf numFmtId="0" fontId="0" fillId="0" borderId="4" xfId="0" applyBorder="1" applyAlignment="1">
      <alignment horizontal="right"/>
    </xf>
    <xf numFmtId="3" fontId="0" fillId="0" borderId="9" xfId="0" applyNumberFormat="1" applyBorder="1"/>
    <xf numFmtId="0" fontId="15" fillId="0" borderId="1" xfId="0" applyFont="1" applyBorder="1" applyAlignment="1">
      <alignment horizontal="centerContinuous"/>
    </xf>
    <xf numFmtId="3" fontId="0" fillId="0" borderId="2" xfId="0" applyNumberFormat="1" applyBorder="1" applyAlignment="1">
      <alignment horizontal="centerContinuous"/>
    </xf>
    <xf numFmtId="3" fontId="0" fillId="0" borderId="5" xfId="0" applyNumberFormat="1" applyBorder="1" applyAlignment="1">
      <alignment horizontal="centerContinuous"/>
    </xf>
    <xf numFmtId="3" fontId="20" fillId="5" borderId="12" xfId="0" applyNumberFormat="1" applyFont="1" applyFill="1" applyBorder="1"/>
    <xf numFmtId="0" fontId="21" fillId="0" borderId="0" xfId="0" applyFont="1" applyBorder="1" applyAlignment="1">
      <alignment horizontal="center"/>
    </xf>
    <xf numFmtId="0" fontId="20" fillId="5" borderId="1" xfId="0" applyFont="1" applyFill="1" applyBorder="1"/>
    <xf numFmtId="0" fontId="20" fillId="5" borderId="2" xfId="0" applyFont="1" applyFill="1" applyBorder="1" applyAlignment="1">
      <alignment horizontal="centerContinuous"/>
    </xf>
    <xf numFmtId="0" fontId="20" fillId="5" borderId="5" xfId="0" applyFont="1" applyFill="1" applyBorder="1"/>
    <xf numFmtId="0" fontId="15" fillId="0" borderId="0" xfId="0" applyFont="1" applyBorder="1" applyAlignment="1">
      <alignment horizontal="center"/>
    </xf>
    <xf numFmtId="0" fontId="13" fillId="0" borderId="0" xfId="0" applyFont="1" applyAlignment="1">
      <alignment horizontal="right"/>
    </xf>
    <xf numFmtId="0" fontId="13" fillId="0" borderId="0" xfId="0" applyFont="1" applyAlignment="1"/>
    <xf numFmtId="0" fontId="0" fillId="0" borderId="6" xfId="0" applyBorder="1" applyAlignment="1">
      <alignment horizontal="right"/>
    </xf>
    <xf numFmtId="0" fontId="0" fillId="0" borderId="7" xfId="0" applyBorder="1" applyAlignment="1">
      <alignment horizontal="right"/>
    </xf>
    <xf numFmtId="0" fontId="13" fillId="0" borderId="0" xfId="0" applyFont="1" applyBorder="1" applyAlignment="1">
      <alignment horizontal="left"/>
    </xf>
    <xf numFmtId="0" fontId="13" fillId="0" borderId="0" xfId="0" applyFont="1" applyBorder="1" applyAlignment="1">
      <alignment horizontal="right"/>
    </xf>
    <xf numFmtId="0" fontId="13" fillId="0" borderId="10" xfId="0" applyFont="1" applyBorder="1" applyAlignment="1">
      <alignment horizontal="right"/>
    </xf>
    <xf numFmtId="0" fontId="13" fillId="0" borderId="4" xfId="0" applyFont="1" applyBorder="1" applyAlignment="1">
      <alignment horizontal="right"/>
    </xf>
    <xf numFmtId="0" fontId="13" fillId="0" borderId="0" xfId="0" applyFont="1" applyBorder="1" applyAlignment="1"/>
    <xf numFmtId="0" fontId="13" fillId="0" borderId="3" xfId="0" applyFont="1" applyBorder="1" applyAlignment="1">
      <alignment horizontal="right"/>
    </xf>
    <xf numFmtId="0" fontId="11" fillId="2" borderId="17" xfId="2" applyBorder="1" applyAlignment="1">
      <alignment horizontal="center"/>
    </xf>
    <xf numFmtId="0" fontId="0" fillId="6" borderId="0" xfId="0" applyFill="1" applyBorder="1" applyAlignment="1">
      <alignment horizontal="right"/>
    </xf>
    <xf numFmtId="0" fontId="0" fillId="0" borderId="11" xfId="0" applyBorder="1" applyAlignment="1">
      <alignment horizontal="right"/>
    </xf>
    <xf numFmtId="2" fontId="13" fillId="0" borderId="0" xfId="0" applyNumberFormat="1" applyFont="1" applyAlignment="1"/>
    <xf numFmtId="0" fontId="0" fillId="0" borderId="9" xfId="0" applyBorder="1" applyAlignment="1"/>
    <xf numFmtId="0" fontId="0" fillId="0" borderId="0" xfId="0" applyBorder="1" applyAlignment="1"/>
    <xf numFmtId="0" fontId="13" fillId="7" borderId="12" xfId="0" applyFont="1" applyFill="1" applyBorder="1" applyAlignment="1">
      <alignment horizontal="center"/>
    </xf>
    <xf numFmtId="0" fontId="13" fillId="7" borderId="12" xfId="0" applyFont="1" applyFill="1" applyBorder="1" applyAlignment="1">
      <alignment horizontal="right"/>
    </xf>
    <xf numFmtId="2" fontId="22" fillId="0" borderId="12" xfId="0" applyNumberFormat="1" applyFont="1" applyBorder="1" applyAlignment="1"/>
    <xf numFmtId="0" fontId="0" fillId="0" borderId="0" xfId="0" applyFont="1" applyBorder="1" applyAlignment="1"/>
    <xf numFmtId="0" fontId="0" fillId="0" borderId="4" xfId="0" applyBorder="1" applyAlignment="1"/>
    <xf numFmtId="0" fontId="0" fillId="0" borderId="11" xfId="0" applyBorder="1" applyAlignment="1"/>
    <xf numFmtId="0" fontId="11" fillId="2" borderId="18" xfId="2" applyBorder="1" applyAlignment="1">
      <alignment horizontal="center"/>
    </xf>
    <xf numFmtId="0" fontId="11" fillId="2" borderId="19" xfId="2" applyBorder="1" applyAlignment="1">
      <alignment horizontal="center"/>
    </xf>
    <xf numFmtId="0" fontId="11" fillId="2" borderId="20" xfId="2" applyBorder="1" applyAlignment="1">
      <alignment horizontal="center"/>
    </xf>
    <xf numFmtId="3" fontId="0" fillId="0" borderId="21" xfId="0" applyNumberFormat="1" applyBorder="1"/>
    <xf numFmtId="3" fontId="0" fillId="0" borderId="22" xfId="0" applyNumberFormat="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4" fontId="0" fillId="0" borderId="21" xfId="0" applyNumberFormat="1" applyBorder="1"/>
    <xf numFmtId="4" fontId="0" fillId="0" borderId="22" xfId="0" applyNumberFormat="1" applyBorder="1"/>
    <xf numFmtId="4" fontId="0" fillId="0" borderId="23" xfId="0" applyNumberFormat="1" applyBorder="1"/>
    <xf numFmtId="4" fontId="0" fillId="0" borderId="24" xfId="0" applyNumberFormat="1" applyBorder="1"/>
    <xf numFmtId="4" fontId="0" fillId="0" borderId="25" xfId="0" applyNumberFormat="1" applyBorder="1"/>
    <xf numFmtId="4" fontId="0" fillId="0" borderId="26" xfId="0" applyNumberFormat="1" applyBorder="1"/>
    <xf numFmtId="4" fontId="0" fillId="0" borderId="27" xfId="0" applyNumberFormat="1" applyBorder="1"/>
    <xf numFmtId="4" fontId="0" fillId="0" borderId="28" xfId="0" applyNumberFormat="1" applyBorder="1"/>
    <xf numFmtId="4" fontId="0" fillId="0" borderId="29" xfId="0" applyNumberFormat="1" applyBorder="1"/>
    <xf numFmtId="2" fontId="13" fillId="0" borderId="6" xfId="0" applyNumberFormat="1" applyFont="1" applyFill="1" applyBorder="1"/>
    <xf numFmtId="2" fontId="13" fillId="0" borderId="7" xfId="0" applyNumberFormat="1" applyFont="1" applyFill="1" applyBorder="1"/>
    <xf numFmtId="2" fontId="13" fillId="0" borderId="8" xfId="0" applyNumberFormat="1" applyFont="1" applyFill="1" applyBorder="1"/>
    <xf numFmtId="0" fontId="0" fillId="0" borderId="0" xfId="0" applyFont="1" applyAlignment="1">
      <alignment horizontal="right"/>
    </xf>
    <xf numFmtId="0" fontId="0" fillId="0" borderId="12" xfId="0" applyFont="1" applyBorder="1" applyAlignment="1">
      <alignment horizontal="right"/>
    </xf>
    <xf numFmtId="2" fontId="0" fillId="0" borderId="30" xfId="0" applyNumberFormat="1" applyBorder="1" applyAlignment="1"/>
    <xf numFmtId="2" fontId="0" fillId="0" borderId="31" xfId="0" applyNumberFormat="1" applyBorder="1" applyAlignment="1"/>
    <xf numFmtId="2" fontId="0" fillId="0" borderId="32" xfId="0" applyNumberFormat="1" applyBorder="1" applyAlignment="1"/>
    <xf numFmtId="2" fontId="0" fillId="0" borderId="33" xfId="0" applyNumberFormat="1" applyBorder="1" applyAlignment="1"/>
    <xf numFmtId="2" fontId="0" fillId="0" borderId="34" xfId="0" applyNumberFormat="1" applyBorder="1" applyAlignment="1"/>
    <xf numFmtId="2" fontId="0" fillId="0" borderId="35" xfId="0" applyNumberFormat="1" applyBorder="1" applyAlignment="1"/>
    <xf numFmtId="3" fontId="0" fillId="0" borderId="5" xfId="0" applyNumberFormat="1" applyBorder="1"/>
    <xf numFmtId="0" fontId="0" fillId="0" borderId="4" xfId="0" applyBorder="1" applyAlignment="1">
      <alignment horizontal="center"/>
    </xf>
    <xf numFmtId="0" fontId="23" fillId="0" borderId="0" xfId="0" applyFont="1" applyBorder="1" applyAlignment="1"/>
    <xf numFmtId="0" fontId="23" fillId="0" borderId="0" xfId="0" applyFont="1" applyBorder="1" applyAlignment="1">
      <alignment horizontal="right"/>
    </xf>
    <xf numFmtId="0" fontId="21" fillId="0" borderId="0" xfId="0" applyFont="1" applyAlignment="1"/>
    <xf numFmtId="0" fontId="13" fillId="0" borderId="7" xfId="0" applyFont="1" applyBorder="1" applyAlignment="1">
      <alignment horizontal="left"/>
    </xf>
    <xf numFmtId="0" fontId="0" fillId="0" borderId="6" xfId="0" applyBorder="1" applyAlignment="1"/>
    <xf numFmtId="0" fontId="13" fillId="0" borderId="7" xfId="0" applyFont="1" applyBorder="1" applyAlignment="1"/>
    <xf numFmtId="0" fontId="0" fillId="0" borderId="7" xfId="0" quotePrefix="1" applyBorder="1" applyAlignment="1"/>
    <xf numFmtId="0" fontId="24" fillId="0" borderId="6" xfId="0" applyFont="1" applyFill="1" applyBorder="1" applyAlignment="1">
      <alignment horizontal="center"/>
    </xf>
    <xf numFmtId="0" fontId="0" fillId="0" borderId="10" xfId="0" applyBorder="1" applyAlignment="1">
      <alignment horizontal="right"/>
    </xf>
    <xf numFmtId="0" fontId="24" fillId="0" borderId="8" xfId="0" applyFont="1" applyFill="1" applyBorder="1" applyAlignment="1">
      <alignment horizontal="center"/>
    </xf>
    <xf numFmtId="0" fontId="0" fillId="0" borderId="9" xfId="0" applyBorder="1" applyAlignment="1">
      <alignment horizontal="right"/>
    </xf>
    <xf numFmtId="0" fontId="24" fillId="0" borderId="7" xfId="0" applyFont="1" applyFill="1" applyBorder="1" applyAlignment="1">
      <alignment horizontal="center"/>
    </xf>
    <xf numFmtId="0" fontId="14" fillId="0" borderId="0" xfId="0" applyFont="1" applyBorder="1" applyAlignment="1">
      <alignment vertical="center"/>
    </xf>
    <xf numFmtId="0" fontId="26" fillId="0" borderId="0" xfId="0" applyFont="1" applyAlignment="1"/>
    <xf numFmtId="0" fontId="0" fillId="0" borderId="0" xfId="0" applyFont="1"/>
    <xf numFmtId="0" fontId="11" fillId="2" borderId="18" xfId="2" applyFont="1" applyBorder="1" applyAlignment="1">
      <alignment horizontal="center"/>
    </xf>
    <xf numFmtId="0" fontId="12" fillId="0" borderId="12" xfId="0" applyFont="1" applyBorder="1" applyAlignment="1">
      <alignment horizontal="center"/>
    </xf>
    <xf numFmtId="3" fontId="15" fillId="4" borderId="12" xfId="0" applyNumberFormat="1" applyFont="1" applyFill="1" applyBorder="1" applyAlignment="1">
      <alignment horizontal="center"/>
    </xf>
    <xf numFmtId="9" fontId="15" fillId="4" borderId="12" xfId="3" applyFont="1" applyFill="1" applyBorder="1" applyAlignment="1">
      <alignment horizontal="center"/>
    </xf>
    <xf numFmtId="0" fontId="22" fillId="0" borderId="0" xfId="0" applyFont="1" applyAlignment="1">
      <alignment horizontal="center"/>
    </xf>
    <xf numFmtId="0" fontId="0" fillId="0" borderId="0" xfId="0" applyAlignment="1">
      <alignment horizontal="left"/>
    </xf>
    <xf numFmtId="0" fontId="13" fillId="0" borderId="0" xfId="0" applyFont="1" applyAlignment="1">
      <alignment horizontal="right" vertical="center"/>
    </xf>
    <xf numFmtId="0" fontId="26" fillId="0" borderId="0" xfId="0" applyFont="1"/>
    <xf numFmtId="0" fontId="25" fillId="0" borderId="0" xfId="0" applyFont="1"/>
    <xf numFmtId="2" fontId="0" fillId="0" borderId="12" xfId="0" applyNumberFormat="1" applyFont="1" applyBorder="1" applyAlignment="1">
      <alignment horizontal="center"/>
    </xf>
    <xf numFmtId="4" fontId="30" fillId="9" borderId="1" xfId="0" applyNumberFormat="1" applyFont="1" applyFill="1" applyBorder="1" applyProtection="1">
      <protection locked="0"/>
    </xf>
    <xf numFmtId="4" fontId="30" fillId="9" borderId="2" xfId="0" applyNumberFormat="1" applyFont="1" applyFill="1" applyBorder="1" applyProtection="1">
      <protection locked="0"/>
    </xf>
    <xf numFmtId="4" fontId="30" fillId="9" borderId="5" xfId="0" applyNumberFormat="1" applyFont="1" applyFill="1" applyBorder="1" applyProtection="1">
      <protection locked="0"/>
    </xf>
    <xf numFmtId="2" fontId="31" fillId="10" borderId="6" xfId="0" applyNumberFormat="1" applyFont="1" applyFill="1" applyBorder="1" applyAlignment="1" applyProtection="1">
      <alignment vertical="center" wrapText="1"/>
      <protection locked="0"/>
    </xf>
    <xf numFmtId="2" fontId="31" fillId="10" borderId="7" xfId="0" applyNumberFormat="1" applyFont="1" applyFill="1" applyBorder="1" applyAlignment="1" applyProtection="1">
      <alignment vertical="center" wrapText="1"/>
      <protection locked="0"/>
    </xf>
    <xf numFmtId="2" fontId="31" fillId="10" borderId="8" xfId="0" applyNumberFormat="1" applyFont="1" applyFill="1" applyBorder="1" applyAlignment="1" applyProtection="1">
      <alignment vertical="center" wrapText="1"/>
      <protection locked="0"/>
    </xf>
    <xf numFmtId="2" fontId="31" fillId="10" borderId="10" xfId="0" applyNumberFormat="1" applyFont="1" applyFill="1" applyBorder="1" applyAlignment="1" applyProtection="1">
      <alignment vertical="center" wrapText="1"/>
      <protection locked="0"/>
    </xf>
    <xf numFmtId="2" fontId="31" fillId="10" borderId="4" xfId="0" applyNumberFormat="1" applyFont="1" applyFill="1" applyBorder="1" applyAlignment="1" applyProtection="1">
      <alignment vertical="center" wrapText="1"/>
      <protection locked="0"/>
    </xf>
    <xf numFmtId="2" fontId="31" fillId="10" borderId="11" xfId="0" applyNumberFormat="1" applyFont="1" applyFill="1" applyBorder="1" applyAlignment="1" applyProtection="1">
      <alignment vertical="center" wrapText="1"/>
      <protection locked="0"/>
    </xf>
    <xf numFmtId="164" fontId="25" fillId="9" borderId="12" xfId="0" applyNumberFormat="1" applyFont="1" applyFill="1" applyBorder="1" applyAlignment="1" applyProtection="1">
      <protection locked="0"/>
    </xf>
    <xf numFmtId="3" fontId="0" fillId="9" borderId="5" xfId="0" applyNumberFormat="1" applyFill="1" applyBorder="1" applyAlignment="1" applyProtection="1">
      <protection locked="0"/>
    </xf>
    <xf numFmtId="0" fontId="0" fillId="9" borderId="40" xfId="0" applyFill="1" applyBorder="1" applyAlignment="1" applyProtection="1">
      <protection locked="0"/>
    </xf>
    <xf numFmtId="0" fontId="0" fillId="9" borderId="41" xfId="0" applyFill="1" applyBorder="1" applyAlignment="1" applyProtection="1">
      <protection locked="0"/>
    </xf>
    <xf numFmtId="0" fontId="0" fillId="9" borderId="42" xfId="0" applyFill="1" applyBorder="1" applyAlignment="1" applyProtection="1">
      <protection locked="0"/>
    </xf>
    <xf numFmtId="2" fontId="0" fillId="9" borderId="30" xfId="0" applyNumberFormat="1" applyFill="1" applyBorder="1" applyAlignment="1" applyProtection="1">
      <protection locked="0"/>
    </xf>
    <xf numFmtId="2" fontId="0" fillId="9" borderId="31" xfId="0" applyNumberFormat="1" applyFill="1" applyBorder="1" applyAlignment="1" applyProtection="1">
      <protection locked="0"/>
    </xf>
    <xf numFmtId="2" fontId="0" fillId="9" borderId="32" xfId="0" applyNumberFormat="1" applyFill="1" applyBorder="1" applyAlignment="1" applyProtection="1">
      <protection locked="0"/>
    </xf>
    <xf numFmtId="0" fontId="15" fillId="0" borderId="0" xfId="0" applyFont="1" applyAlignment="1">
      <alignment horizontal="center" vertical="top"/>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3" fillId="0" borderId="0" xfId="0" applyFont="1" applyAlignment="1">
      <alignment horizontal="left"/>
    </xf>
    <xf numFmtId="0" fontId="25" fillId="0" borderId="0" xfId="0" applyFont="1" applyAlignment="1">
      <alignment horizontal="left"/>
    </xf>
    <xf numFmtId="0" fontId="0" fillId="0" borderId="0" xfId="0" quotePrefix="1" applyAlignment="1">
      <alignment vertical="top" wrapText="1"/>
    </xf>
    <xf numFmtId="0" fontId="35" fillId="0" borderId="0" xfId="0" applyFont="1" applyAlignment="1">
      <alignment horizontal="right"/>
    </xf>
    <xf numFmtId="0" fontId="35" fillId="0" borderId="0" xfId="0" applyFont="1" applyBorder="1" applyAlignment="1">
      <alignment horizontal="right"/>
    </xf>
    <xf numFmtId="0" fontId="36" fillId="0" borderId="0" xfId="0" applyFont="1" applyBorder="1" applyAlignment="1">
      <alignment horizontal="right"/>
    </xf>
    <xf numFmtId="0" fontId="36" fillId="0" borderId="0" xfId="0" applyNumberFormat="1" applyFont="1" applyBorder="1" applyAlignment="1">
      <alignment horizontal="right"/>
    </xf>
    <xf numFmtId="2" fontId="13" fillId="9" borderId="12" xfId="0" applyNumberFormat="1" applyFont="1" applyFill="1" applyBorder="1" applyAlignment="1" applyProtection="1">
      <alignment horizontal="center"/>
      <protection locked="0"/>
    </xf>
    <xf numFmtId="3" fontId="21" fillId="9" borderId="12" xfId="0" applyNumberFormat="1" applyFont="1" applyFill="1" applyBorder="1" applyAlignment="1" applyProtection="1">
      <alignment horizontal="center" vertical="center"/>
      <protection locked="0"/>
    </xf>
    <xf numFmtId="0" fontId="20" fillId="5" borderId="2" xfId="0" applyFont="1" applyFill="1" applyBorder="1"/>
    <xf numFmtId="0" fontId="16" fillId="0" borderId="0" xfId="0" applyFont="1" applyFill="1" applyBorder="1"/>
    <xf numFmtId="0" fontId="3" fillId="0" borderId="0" xfId="0" applyFont="1" applyBorder="1" applyAlignment="1">
      <alignment horizontal="left"/>
    </xf>
    <xf numFmtId="0" fontId="40" fillId="0" borderId="0" xfId="0" applyFont="1" applyBorder="1" applyAlignment="1">
      <alignment horizontal="left"/>
    </xf>
    <xf numFmtId="3" fontId="13" fillId="0" borderId="0" xfId="0" applyNumberFormat="1" applyFont="1" applyBorder="1"/>
    <xf numFmtId="3" fontId="27" fillId="5" borderId="1" xfId="0" applyNumberFormat="1" applyFont="1" applyFill="1" applyBorder="1" applyAlignment="1">
      <alignment horizontal="center"/>
    </xf>
    <xf numFmtId="3" fontId="27" fillId="5" borderId="2" xfId="0" applyNumberFormat="1" applyFont="1" applyFill="1" applyBorder="1" applyAlignment="1">
      <alignment horizontal="center"/>
    </xf>
    <xf numFmtId="3" fontId="27" fillId="5" borderId="5" xfId="0" applyNumberFormat="1" applyFont="1" applyFill="1" applyBorder="1" applyAlignment="1">
      <alignment horizontal="center"/>
    </xf>
    <xf numFmtId="0" fontId="15" fillId="7" borderId="1" xfId="0" applyFont="1" applyFill="1" applyBorder="1" applyAlignment="1">
      <alignment horizontal="center"/>
    </xf>
    <xf numFmtId="0" fontId="15" fillId="7" borderId="5" xfId="0" applyFont="1" applyFill="1" applyBorder="1" applyAlignment="1">
      <alignment horizont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8" xfId="0" applyFont="1" applyFill="1" applyBorder="1" applyAlignment="1">
      <alignment horizontal="center" vertical="center"/>
    </xf>
    <xf numFmtId="0" fontId="22" fillId="0" borderId="0" xfId="0" applyFont="1" applyAlignment="1">
      <alignment horizontal="right" vertical="center"/>
    </xf>
    <xf numFmtId="0" fontId="22" fillId="0" borderId="9" xfId="0" applyFont="1" applyBorder="1" applyAlignment="1">
      <alignment horizontal="right" vertical="center"/>
    </xf>
    <xf numFmtId="0" fontId="0" fillId="0" borderId="0" xfId="0" applyFont="1" applyAlignment="1">
      <alignment horizontal="right"/>
    </xf>
    <xf numFmtId="0" fontId="0" fillId="0" borderId="9" xfId="0" applyFont="1" applyBorder="1" applyAlignment="1">
      <alignment horizontal="right"/>
    </xf>
    <xf numFmtId="0" fontId="22" fillId="0" borderId="0" xfId="0" applyFont="1" applyBorder="1" applyAlignment="1">
      <alignment horizontal="right"/>
    </xf>
    <xf numFmtId="0" fontId="22" fillId="0" borderId="9" xfId="0" applyFont="1" applyBorder="1" applyAlignment="1">
      <alignment horizontal="right"/>
    </xf>
    <xf numFmtId="0" fontId="13" fillId="0" borderId="14" xfId="0" applyFont="1" applyBorder="1" applyAlignment="1">
      <alignment horizontal="center"/>
    </xf>
    <xf numFmtId="0" fontId="13" fillId="0" borderId="39" xfId="0" applyFont="1" applyBorder="1" applyAlignment="1">
      <alignment horizontal="center"/>
    </xf>
    <xf numFmtId="2" fontId="29" fillId="8" borderId="15" xfId="0" applyNumberFormat="1" applyFont="1" applyFill="1" applyBorder="1" applyAlignment="1">
      <alignment horizontal="center" vertical="center" textRotation="90"/>
    </xf>
    <xf numFmtId="2" fontId="29" fillId="8" borderId="16" xfId="0" applyNumberFormat="1" applyFont="1" applyFill="1" applyBorder="1" applyAlignment="1">
      <alignment horizontal="center" vertical="center" textRotation="90"/>
    </xf>
    <xf numFmtId="2" fontId="29" fillId="8" borderId="13" xfId="0" applyNumberFormat="1" applyFont="1" applyFill="1" applyBorder="1" applyAlignment="1">
      <alignment horizontal="center" vertical="center" textRotation="90"/>
    </xf>
    <xf numFmtId="0" fontId="34" fillId="3" borderId="43" xfId="4" applyFont="1" applyFill="1" applyBorder="1" applyAlignment="1">
      <alignment horizontal="center" vertical="center"/>
    </xf>
    <xf numFmtId="0" fontId="34" fillId="3" borderId="44" xfId="4" applyFont="1" applyFill="1" applyBorder="1" applyAlignment="1">
      <alignment horizontal="center" vertical="center"/>
    </xf>
    <xf numFmtId="0" fontId="13" fillId="0" borderId="0" xfId="0" applyFont="1" applyAlignment="1">
      <alignment horizontal="right" vertical="center" wrapText="1"/>
    </xf>
    <xf numFmtId="0" fontId="13" fillId="0" borderId="9" xfId="0" applyFont="1" applyBorder="1" applyAlignment="1">
      <alignment horizontal="right" vertical="center" wrapText="1"/>
    </xf>
  </cellXfs>
  <cellStyles count="5">
    <cellStyle name="Hyperlink" xfId="4" builtinId="8"/>
    <cellStyle name="Normal" xfId="0" builtinId="0"/>
    <cellStyle name="Normal 3" xfId="1"/>
    <cellStyle name="Output" xfId="2" builtinId="21"/>
    <cellStyle name="Percent" xfId="3" builtinId="5"/>
  </cellStyles>
  <dxfs count="4">
    <dxf>
      <border>
        <bottom/>
        <vertical/>
        <horizontal/>
      </border>
    </dxf>
    <dxf>
      <border>
        <left style="thin">
          <color auto="1"/>
        </left>
        <vertical/>
        <horizontal/>
      </border>
    </dxf>
    <dxf>
      <numFmt numFmtId="165" formatCode=";;;"/>
    </dxf>
    <dxf>
      <fill>
        <patternFill>
          <bgColor theme="8" tint="0.59996337778862885"/>
        </patternFill>
      </fill>
      <border>
        <left/>
        <right/>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666750</xdr:colOff>
      <xdr:row>0</xdr:row>
      <xdr:rowOff>38100</xdr:rowOff>
    </xdr:from>
    <xdr:to>
      <xdr:col>18</xdr:col>
      <xdr:colOff>1156446</xdr:colOff>
      <xdr:row>1</xdr:row>
      <xdr:rowOff>383801</xdr:rowOff>
    </xdr:to>
    <xdr:pic>
      <xdr:nvPicPr>
        <xdr:cNvPr id="1033" name="Picture 1"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38100"/>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67"/>
  <sheetViews>
    <sheetView showGridLines="0" tabSelected="1" topLeftCell="A16" zoomScale="85" zoomScaleNormal="85" zoomScaleSheetLayoutView="85" zoomScalePageLayoutView="80" workbookViewId="0">
      <selection activeCell="N41" sqref="N41"/>
    </sheetView>
  </sheetViews>
  <sheetFormatPr defaultColWidth="0" defaultRowHeight="15" zeroHeight="1" x14ac:dyDescent="0.25"/>
  <cols>
    <col min="1" max="1" width="3" customWidth="1"/>
    <col min="2" max="2" width="1.42578125" customWidth="1"/>
    <col min="3" max="3" width="8.140625" style="27" bestFit="1" customWidth="1"/>
    <col min="4" max="8" width="14.140625" customWidth="1"/>
    <col min="9" max="9" width="23.42578125" customWidth="1"/>
    <col min="10" max="10" width="2.140625" customWidth="1"/>
    <col min="11" max="11" width="2.28515625" customWidth="1"/>
    <col min="12" max="12" width="6" customWidth="1"/>
    <col min="13" max="13" width="1.5703125" customWidth="1"/>
    <col min="14" max="18" width="14.140625" customWidth="1"/>
    <col min="19" max="19" width="23" customWidth="1"/>
    <col min="20" max="21" width="2.28515625" customWidth="1"/>
    <col min="22" max="22" width="9.140625" customWidth="1"/>
    <col min="23" max="16384" width="9.140625" hidden="1"/>
  </cols>
  <sheetData>
    <row r="1" spans="1:21" ht="10.5" customHeight="1" x14ac:dyDescent="0.25"/>
    <row r="2" spans="1:21" ht="36" x14ac:dyDescent="0.55000000000000004">
      <c r="A2" s="144" t="str">
        <f>"Maximum Credit Limit (MCL) Calculator for "&amp;UPPER(MID(RegionalData!D2,15,2^20))</f>
        <v>Maximum Credit Limit (MCL) Calculator for SUMMER 2017</v>
      </c>
    </row>
    <row r="3" spans="1:21" ht="5.25" customHeight="1" x14ac:dyDescent="0.25">
      <c r="A3" s="34"/>
      <c r="B3" s="34"/>
      <c r="C3" s="55"/>
      <c r="D3" s="34"/>
      <c r="E3" s="34"/>
      <c r="F3" s="34"/>
      <c r="G3" s="34"/>
      <c r="H3" s="34"/>
      <c r="I3" s="34"/>
      <c r="J3" s="34"/>
      <c r="K3" s="34"/>
      <c r="L3" s="34"/>
      <c r="M3" s="34"/>
      <c r="N3" s="34"/>
      <c r="O3" s="34"/>
      <c r="P3" s="34"/>
      <c r="Q3" s="34"/>
      <c r="R3" s="34"/>
      <c r="S3" s="34"/>
      <c r="T3" s="34"/>
      <c r="U3" s="34"/>
    </row>
    <row r="4" spans="1:21" ht="7.5" customHeight="1" x14ac:dyDescent="0.25"/>
    <row r="5" spans="1:21" s="136" customFormat="1" x14ac:dyDescent="0.25">
      <c r="C5" s="112"/>
      <c r="N5" s="137" t="s">
        <v>0</v>
      </c>
      <c r="O5" s="137" t="s">
        <v>1</v>
      </c>
      <c r="P5" s="137" t="s">
        <v>2</v>
      </c>
      <c r="Q5" s="137" t="s">
        <v>3</v>
      </c>
      <c r="R5" s="137" t="s">
        <v>4</v>
      </c>
    </row>
    <row r="6" spans="1:21" s="136" customFormat="1" ht="18" x14ac:dyDescent="0.35">
      <c r="C6" s="112"/>
      <c r="L6" s="185" t="s">
        <v>92</v>
      </c>
      <c r="M6" s="186"/>
      <c r="N6" s="146">
        <f>NSW_P</f>
        <v>38.049999999999997</v>
      </c>
      <c r="O6" s="146">
        <f>QLD_P</f>
        <v>49.63</v>
      </c>
      <c r="P6" s="146">
        <f>SA_P</f>
        <v>48.14</v>
      </c>
      <c r="Q6" s="146">
        <f>TAS_P</f>
        <v>42.83</v>
      </c>
      <c r="R6" s="146">
        <f>VIC_P</f>
        <v>35.36</v>
      </c>
    </row>
    <row r="7" spans="1:21" s="136" customFormat="1" ht="18" x14ac:dyDescent="0.35">
      <c r="C7" s="112"/>
      <c r="E7" s="138" t="s">
        <v>93</v>
      </c>
      <c r="F7" s="138" t="s">
        <v>94</v>
      </c>
      <c r="G7" s="138" t="s">
        <v>14</v>
      </c>
      <c r="L7" s="185" t="s">
        <v>95</v>
      </c>
      <c r="M7" s="186"/>
      <c r="N7" s="146">
        <f>NSW_VFOSL</f>
        <v>1.43</v>
      </c>
      <c r="O7" s="146">
        <f>QLD_VFOSL</f>
        <v>1.69</v>
      </c>
      <c r="P7" s="146">
        <f>SA_VFOSL</f>
        <v>1.8</v>
      </c>
      <c r="Q7" s="146">
        <f>TAS_VFOSL</f>
        <v>1.1100000000000001</v>
      </c>
      <c r="R7" s="146">
        <f>VIC_VFOSL</f>
        <v>1.52</v>
      </c>
    </row>
    <row r="8" spans="1:21" s="136" customFormat="1" ht="18" x14ac:dyDescent="0.35">
      <c r="C8" s="112"/>
      <c r="E8" s="139">
        <v>35</v>
      </c>
      <c r="F8" s="139">
        <v>7</v>
      </c>
      <c r="G8" s="140">
        <v>0.1</v>
      </c>
      <c r="L8" s="185" t="s">
        <v>96</v>
      </c>
      <c r="M8" s="186"/>
      <c r="N8" s="146">
        <f>NSW_VFPM</f>
        <v>1.64</v>
      </c>
      <c r="O8" s="146">
        <f>QLD_VFPM</f>
        <v>2.99</v>
      </c>
      <c r="P8" s="146">
        <f>SA_VFPM</f>
        <v>3.82</v>
      </c>
      <c r="Q8" s="146">
        <f>TAS_VFPM</f>
        <v>1.1100000000000001</v>
      </c>
      <c r="R8" s="146">
        <f>VIC_VFPM</f>
        <v>2.57</v>
      </c>
    </row>
    <row r="9" spans="1:21" s="136" customFormat="1" x14ac:dyDescent="0.25">
      <c r="C9" s="112"/>
      <c r="N9" s="145" t="s">
        <v>126</v>
      </c>
    </row>
    <row r="10" spans="1:21" ht="11.25" customHeight="1" x14ac:dyDescent="0.25"/>
    <row r="11" spans="1:21" ht="5.25" customHeight="1" x14ac:dyDescent="0.35">
      <c r="B11" s="39"/>
      <c r="C11" s="54"/>
      <c r="D11" s="50"/>
      <c r="E11" s="50"/>
      <c r="F11" s="50"/>
      <c r="G11" s="50"/>
      <c r="H11" s="50"/>
      <c r="I11" s="50"/>
      <c r="J11" s="50"/>
      <c r="K11" s="50"/>
      <c r="L11" s="50"/>
      <c r="M11" s="50"/>
      <c r="N11" s="50"/>
      <c r="O11" s="50"/>
      <c r="P11" s="50"/>
      <c r="Q11" s="50"/>
      <c r="R11" s="50"/>
      <c r="S11" s="50"/>
      <c r="T11" s="40"/>
    </row>
    <row r="12" spans="1:21" ht="31.5" x14ac:dyDescent="0.5">
      <c r="B12" s="28"/>
      <c r="C12" s="41"/>
      <c r="D12" s="51"/>
      <c r="E12" s="51"/>
      <c r="F12" s="51"/>
      <c r="G12" s="51"/>
      <c r="H12" s="32"/>
      <c r="I12" s="123" t="s">
        <v>26</v>
      </c>
      <c r="J12" s="182">
        <f>MAX(0,S42+I42)</f>
        <v>0</v>
      </c>
      <c r="K12" s="183"/>
      <c r="L12" s="183"/>
      <c r="M12" s="183"/>
      <c r="N12" s="184"/>
      <c r="O12" s="122"/>
      <c r="S12" s="32"/>
      <c r="T12" s="29"/>
    </row>
    <row r="13" spans="1:21" ht="5.25" customHeight="1" x14ac:dyDescent="0.25">
      <c r="B13" s="33"/>
      <c r="C13" s="55"/>
      <c r="D13" s="34"/>
      <c r="E13" s="34"/>
      <c r="F13" s="34"/>
      <c r="G13" s="34"/>
      <c r="H13" s="34"/>
      <c r="I13" s="34"/>
      <c r="J13" s="34"/>
      <c r="K13" s="34"/>
      <c r="L13" s="34"/>
      <c r="M13" s="34"/>
      <c r="N13" s="34"/>
      <c r="O13" s="34"/>
      <c r="P13" s="34"/>
      <c r="Q13" s="34"/>
      <c r="R13" s="34"/>
      <c r="S13" s="34"/>
      <c r="T13" s="35"/>
    </row>
    <row r="14" spans="1:21" s="48" customFormat="1" ht="26.25" x14ac:dyDescent="0.4">
      <c r="B14" s="62"/>
      <c r="C14" s="63" t="s">
        <v>23</v>
      </c>
      <c r="D14" s="63"/>
      <c r="E14" s="63"/>
      <c r="F14" s="63"/>
      <c r="G14" s="63"/>
      <c r="H14" s="63"/>
      <c r="I14" s="63"/>
      <c r="J14" s="64"/>
      <c r="K14" s="62"/>
      <c r="L14" s="177"/>
      <c r="M14" s="63" t="s">
        <v>27</v>
      </c>
      <c r="N14" s="63"/>
      <c r="O14" s="63"/>
      <c r="P14" s="63"/>
      <c r="Q14" s="63"/>
      <c r="R14" s="63"/>
      <c r="S14" s="63"/>
      <c r="T14" s="64"/>
    </row>
    <row r="15" spans="1:21" s="1" customFormat="1" ht="9" customHeight="1" x14ac:dyDescent="0.3">
      <c r="B15" s="42"/>
      <c r="C15" s="52"/>
      <c r="D15" s="44"/>
      <c r="E15" s="44"/>
      <c r="F15" s="44"/>
      <c r="G15" s="44"/>
      <c r="H15" s="44"/>
      <c r="I15" s="44"/>
      <c r="J15" s="45"/>
      <c r="K15" s="42"/>
      <c r="L15" s="178"/>
      <c r="M15" s="43"/>
      <c r="N15" s="44"/>
      <c r="O15" s="44"/>
      <c r="P15" s="44"/>
      <c r="Q15" s="44"/>
      <c r="R15" s="44"/>
      <c r="S15" s="44"/>
      <c r="T15" s="45"/>
    </row>
    <row r="16" spans="1:21" x14ac:dyDescent="0.25">
      <c r="B16" s="28"/>
      <c r="C16" s="41"/>
      <c r="D16" s="76" t="s">
        <v>0</v>
      </c>
      <c r="E16" s="76" t="s">
        <v>1</v>
      </c>
      <c r="F16" s="76" t="s">
        <v>2</v>
      </c>
      <c r="G16" s="76" t="s">
        <v>3</v>
      </c>
      <c r="H16" s="76" t="s">
        <v>4</v>
      </c>
      <c r="I16" s="65" t="s">
        <v>28</v>
      </c>
      <c r="J16" s="29"/>
      <c r="K16" s="28"/>
      <c r="L16" s="32"/>
      <c r="M16" s="32"/>
      <c r="N16" s="76" t="s">
        <v>0</v>
      </c>
      <c r="O16" s="76" t="s">
        <v>1</v>
      </c>
      <c r="P16" s="76" t="s">
        <v>2</v>
      </c>
      <c r="Q16" s="76" t="s">
        <v>3</v>
      </c>
      <c r="R16" s="76" t="s">
        <v>4</v>
      </c>
      <c r="S16" s="65" t="s">
        <v>28</v>
      </c>
      <c r="T16" s="29"/>
    </row>
    <row r="17" spans="2:20" ht="18" x14ac:dyDescent="0.35">
      <c r="B17" s="28"/>
      <c r="C17" s="173" t="s">
        <v>118</v>
      </c>
      <c r="D17" s="13">
        <f>NSW_EL*NSW_P*NSW_PRAFL*NSW_VFOSL*(GST+1)</f>
        <v>0</v>
      </c>
      <c r="E17" s="14">
        <f>QLD_EL*QLD_P*QLD_PRAFL*QLD_VFOSL*(GST+1)</f>
        <v>0</v>
      </c>
      <c r="F17" s="14">
        <f>SA_EL*SA_P*SA_PRAFL*SA_VFOSL*(GST+1)</f>
        <v>0</v>
      </c>
      <c r="G17" s="14">
        <f>TAS_EL*TAS_P*TAS_PRAFL*TAS_VFOSL*(GST+1)</f>
        <v>0</v>
      </c>
      <c r="H17" s="15">
        <f>VIC_EL*VIC_P*VIC_PRAFL*VIC_VFOSL*(GST+1)</f>
        <v>0</v>
      </c>
      <c r="I17" s="32"/>
      <c r="J17" s="29"/>
      <c r="K17" s="28"/>
      <c r="M17" s="47" t="s">
        <v>15</v>
      </c>
      <c r="N17" s="13">
        <f>NSW_EL*NSW_P*NSW_PRAFL*NSW_VFPM*(GST+1)</f>
        <v>0</v>
      </c>
      <c r="O17" s="14">
        <f>QLD_EL*QLD_P*QLD_PRAFL*QLD_VFPM*(GST+1)</f>
        <v>0</v>
      </c>
      <c r="P17" s="14">
        <f>SA_EL*SA_P*SA_PRAFL*SA_VFPM*(GST+1)</f>
        <v>0</v>
      </c>
      <c r="Q17" s="14">
        <f>TAS_EL*TAS_P*TAS_PRAFL*TAS_VFPM*(GST+1)</f>
        <v>0</v>
      </c>
      <c r="R17" s="15">
        <f>VIC_EL*VIC_P*VIC_PRAFL*VIC_VFPM*(GST+1)</f>
        <v>0</v>
      </c>
      <c r="S17" s="32"/>
      <c r="T17" s="29"/>
    </row>
    <row r="18" spans="2:20" ht="18" x14ac:dyDescent="0.35">
      <c r="B18" s="28"/>
      <c r="C18" s="173" t="s">
        <v>119</v>
      </c>
      <c r="D18" s="19">
        <f>NSW_EG*NSW_P*NSW_PRAFG*NSW_VFOSL*(GST+1)</f>
        <v>0</v>
      </c>
      <c r="E18" s="20">
        <f>QLD_EG*QLD_P*QLD_PRAFG*QLD_VFOSL*(GST+1)</f>
        <v>0</v>
      </c>
      <c r="F18" s="20">
        <f>SA_EG*SA_P*SA_PRAFG*SA_VFOSL*(GST+1)</f>
        <v>0</v>
      </c>
      <c r="G18" s="20">
        <f>TAS_EG*TAS_P*TAS_PRAFG*TAS_VFOSL*(GST+1)</f>
        <v>0</v>
      </c>
      <c r="H18" s="21">
        <f>VIC_EG*VIC_P*VIC_PRAFG*VIC_VFOSL*(GST+1)</f>
        <v>0</v>
      </c>
      <c r="I18" s="32"/>
      <c r="J18" s="29"/>
      <c r="K18" s="28"/>
      <c r="M18" s="47" t="s">
        <v>16</v>
      </c>
      <c r="N18" s="19">
        <f>NSW_EG*NSW_P*NSW_PRAFG*NSW_VFPM*(GST+1)</f>
        <v>0</v>
      </c>
      <c r="O18" s="20">
        <f>QLD_EG*QLD_P*QLD_PRAFG*QLD_VFPM*(GST+1)</f>
        <v>0</v>
      </c>
      <c r="P18" s="20">
        <f>SA_EG*SA_P*SA_PRAFG*SA_VFPM*(GST+1)</f>
        <v>0</v>
      </c>
      <c r="Q18" s="20">
        <f>TAS_EG*TAS_P*TAS_PRAFG*TAS_VFPM*(GST+1)</f>
        <v>0</v>
      </c>
      <c r="R18" s="21">
        <f>VIC_EG*VIC_P*VIC_PRAFG*VIC_VFPM*(GST+1)</f>
        <v>0</v>
      </c>
      <c r="S18" s="32"/>
      <c r="T18" s="29"/>
    </row>
    <row r="19" spans="2:20" x14ac:dyDescent="0.25">
      <c r="B19" s="28"/>
      <c r="C19" s="173"/>
      <c r="D19" s="32"/>
      <c r="E19" s="32"/>
      <c r="F19" s="32"/>
      <c r="G19" s="32"/>
      <c r="H19" s="32"/>
      <c r="I19" s="32"/>
      <c r="J19" s="29"/>
      <c r="K19" s="28"/>
      <c r="M19" s="47"/>
      <c r="N19" s="32"/>
      <c r="O19" s="32"/>
      <c r="P19" s="32"/>
      <c r="Q19" s="32"/>
      <c r="R19" s="32"/>
      <c r="S19" s="32"/>
      <c r="T19" s="29"/>
    </row>
    <row r="20" spans="2:20" x14ac:dyDescent="0.25">
      <c r="B20" s="28"/>
      <c r="C20" s="171"/>
      <c r="D20" s="57" t="s">
        <v>17</v>
      </c>
      <c r="E20" s="58"/>
      <c r="F20" s="58"/>
      <c r="G20" s="58"/>
      <c r="H20" s="59"/>
      <c r="I20" s="32"/>
      <c r="J20" s="29"/>
      <c r="K20" s="28"/>
      <c r="M20" s="32"/>
      <c r="N20" s="57" t="s">
        <v>17</v>
      </c>
      <c r="O20" s="58"/>
      <c r="P20" s="58"/>
      <c r="Q20" s="58"/>
      <c r="R20" s="59"/>
      <c r="S20" s="32"/>
      <c r="T20" s="29"/>
    </row>
    <row r="21" spans="2:20" x14ac:dyDescent="0.25">
      <c r="B21" s="28"/>
      <c r="C21" s="172" t="s">
        <v>18</v>
      </c>
      <c r="D21" s="6">
        <f>NSW_RD*NSW_P*NSW_PRAFR*NSW_VFOSL</f>
        <v>0</v>
      </c>
      <c r="E21" s="7">
        <f>QLD_RD*QLD_P*QLD_PRAFR*QLD_VFOSL</f>
        <v>0</v>
      </c>
      <c r="F21" s="7">
        <f>SA_RD*SA_P*SA_PRAFR*SA_VFOSL</f>
        <v>0</v>
      </c>
      <c r="G21" s="7">
        <f>TAS_RD*TAS_P*TAS_PRAFR*TAS_VFOSL</f>
        <v>0</v>
      </c>
      <c r="H21" s="56">
        <f>VIC_RD*VIC_P*VIC_PRAFR*VIC_VFOSL</f>
        <v>0</v>
      </c>
      <c r="I21" s="32"/>
      <c r="J21" s="29"/>
      <c r="K21" s="28"/>
      <c r="M21" s="41" t="s">
        <v>18</v>
      </c>
      <c r="N21" s="6">
        <f>NSW_RD*NSW_P*NSW_PRAFR*NSW_VFPM</f>
        <v>0</v>
      </c>
      <c r="O21" s="7">
        <f>QLD_RD*QLD_P*QLD_PRAFR*QLD_VFPM</f>
        <v>0</v>
      </c>
      <c r="P21" s="7">
        <f>SA_RD*SA_P*SA_PRAFR*SA_VFPM</f>
        <v>0</v>
      </c>
      <c r="Q21" s="7">
        <f>TAS_RD*TAS_P*TAS_PRAFR*TAS_VFPM</f>
        <v>0</v>
      </c>
      <c r="R21" s="56">
        <f>VIC_RD*VIC_P*VIC_PRAFR*VIC_VFPM</f>
        <v>0</v>
      </c>
      <c r="S21" s="32"/>
      <c r="T21" s="29"/>
    </row>
    <row r="22" spans="2:20" x14ac:dyDescent="0.25">
      <c r="B22" s="28"/>
      <c r="C22" s="172" t="s">
        <v>19</v>
      </c>
      <c r="D22" s="6">
        <f>NSW_RDS*(NSW_P*NSW_PRAFR*NSW_VFOSL-NSW_PDS)</f>
        <v>0</v>
      </c>
      <c r="E22" s="7">
        <f>QLD_RDS*(QLD_P*QLD_PRAFR*QLD_VFOSL-QLD_PDS)</f>
        <v>0</v>
      </c>
      <c r="F22" s="7">
        <f>SA_RDS*(SA_P*SA_PRAFR*SA_VFOSL-SA_PDS)</f>
        <v>0</v>
      </c>
      <c r="G22" s="7">
        <f>TAS_RDS*(TAS_P*TAS_PRAFR*TAS_VFOSL-TAS_PDS)</f>
        <v>0</v>
      </c>
      <c r="H22" s="56">
        <f>VIC_RDS*(VIC_P*VIC_PRAFR*VIC_VFOSL-VIC_PDS)</f>
        <v>0</v>
      </c>
      <c r="I22" s="32"/>
      <c r="J22" s="29"/>
      <c r="K22" s="28"/>
      <c r="M22" s="41" t="s">
        <v>19</v>
      </c>
      <c r="N22" s="6">
        <f>NSW_RDS*(NSW_P*NSW_PRAFR*NSW_VFPM-NSW_PDS)</f>
        <v>0</v>
      </c>
      <c r="O22" s="7">
        <f>QLD_RDS*(QLD_P*QLD_PRAFR*QLD_VFPM-QLD_PDS)</f>
        <v>0</v>
      </c>
      <c r="P22" s="7">
        <f>SA_RDS*(SA_P*SA_PRAFR*SA_VFPM-SA_PDS)</f>
        <v>0</v>
      </c>
      <c r="Q22" s="7">
        <f>TAS_RDS*(TAS_P*TAS_PRAFR*TAS_VFPM-TAS_PDS)</f>
        <v>0</v>
      </c>
      <c r="R22" s="56">
        <f>VIC_RDS*(VIC_P*VIC_PRAFR*VIC_VFPM-VIC_PDS)</f>
        <v>0</v>
      </c>
      <c r="S22" s="32"/>
      <c r="T22" s="29"/>
    </row>
    <row r="23" spans="2:20" x14ac:dyDescent="0.25">
      <c r="B23" s="28"/>
      <c r="C23" s="172" t="s">
        <v>72</v>
      </c>
      <c r="D23" s="6">
        <f>NSW_RDC100*(NSW_P*NSW_PRAFR*NSW_VFOSL-NSW_P*NSW_PRAFRC100*NSW_VFOSL)</f>
        <v>0</v>
      </c>
      <c r="E23" s="7">
        <f>QLD_RDC100*(QLD_P*QLD_PRAFR*QLD_VFOSL-QLD_P*QLD_PRAFRC100*QLD_VFOSL)</f>
        <v>0</v>
      </c>
      <c r="F23" s="7">
        <f>SA_RDC100*(SA_P*SA_PRAFR*SA_VFOSL-SA_P*SA_PRAFRC100*SA_VFOSL)</f>
        <v>0</v>
      </c>
      <c r="G23" s="7">
        <f>TAS_RDC100*(TAS_P*TAS_PRAFR*TAS_VFOSL-TAS_P*TAS_PRAFRC100*TAS_VFOSL)</f>
        <v>0</v>
      </c>
      <c r="H23" s="56">
        <f>VIC_RDC100*(VIC_P*VIC_PRAFR*VIC_VFOSL-VIC_P*VIC_PRAFRC100*VIC_VFOSL)</f>
        <v>0</v>
      </c>
      <c r="I23" s="32"/>
      <c r="J23" s="29"/>
      <c r="K23" s="28"/>
      <c r="M23" s="41" t="s">
        <v>72</v>
      </c>
      <c r="N23" s="6">
        <f>NSW_RDC100*(NSW_P*NSW_PRAFR*NSW_VFPM-NSW_P*NSW_PRAFRC100*NSW_VFPM)</f>
        <v>0</v>
      </c>
      <c r="O23" s="7">
        <f>QLD_RDC100*(QLD_P*QLD_PRAFR*QLD_VFPM-QLD_P*QLD_PRAFRC100*QLD_VFPM)</f>
        <v>0</v>
      </c>
      <c r="P23" s="7">
        <f>SA_RDC100*(SA_P*SA_PRAFR*SA_VFPM-SA_P*SA_PRAFRC100*SA_VFPM)</f>
        <v>0</v>
      </c>
      <c r="Q23" s="7">
        <f>TAS_RDC100*(TAS_P*TAS_PRAFR*TAS_VFPM-TAS_P*TAS_PRAFRC100*TAS_VFPM)</f>
        <v>0</v>
      </c>
      <c r="R23" s="56">
        <f>VIC_RDC100*(VIC_P*VIC_PRAFR*VIC_VFPM-VIC_P*VIC_PRAFRC100*VIC_VFPM)</f>
        <v>0</v>
      </c>
      <c r="S23" s="32"/>
      <c r="T23" s="29"/>
    </row>
    <row r="24" spans="2:20" x14ac:dyDescent="0.25">
      <c r="B24" s="28"/>
      <c r="C24" s="172" t="s">
        <v>73</v>
      </c>
      <c r="D24" s="6">
        <f>NSW_RDC200*(NSW_P*NSW_PRAFR*NSW_VFOSL-NSW_P*NSW_PRAFRC200*NSW_VFOSL)</f>
        <v>0</v>
      </c>
      <c r="E24" s="7">
        <f>QLD_RDC200*(QLD_P*QLD_PRAFR*QLD_VFOSL-QLD_P*QLD_PRAFRC200*QLD_VFOSL)</f>
        <v>0</v>
      </c>
      <c r="F24" s="7">
        <f>SA_RDC200*(SA_P*SA_PRAFR*SA_VFOSL-SA_P*SA_PRAFRC200*SA_VFOSL)</f>
        <v>0</v>
      </c>
      <c r="G24" s="7">
        <f>TAS_RDC200*(TAS_P*TAS_PRAFR*TAS_VFOSL-TAS_P*TAS_PRAFRC200*TAS_VFOSL)</f>
        <v>0</v>
      </c>
      <c r="H24" s="56">
        <f>VIC_RDC200*(VIC_P*VIC_PRAFR*VIC_VFOSL-VIC_P*VIC_PRAFRC200*VIC_VFOSL)</f>
        <v>0</v>
      </c>
      <c r="I24" s="32"/>
      <c r="J24" s="29"/>
      <c r="K24" s="28"/>
      <c r="M24" s="41" t="s">
        <v>73</v>
      </c>
      <c r="N24" s="6">
        <f>NSW_RDC200*(NSW_P*NSW_PRAFR*NSW_VFPM-NSW_P*NSW_PRAFRC200*NSW_VFPM)</f>
        <v>0</v>
      </c>
      <c r="O24" s="7">
        <f>QLD_RDC200*(QLD_P*QLD_PRAFR*QLD_VFPM-QLD_P*QLD_PRAFRC200*QLD_VFPM)</f>
        <v>0</v>
      </c>
      <c r="P24" s="7">
        <f>SA_RDC200*(SA_P*SA_PRAFR*SA_VFPM-SA_P*SA_PRAFRC200*SA_VFPM)</f>
        <v>0</v>
      </c>
      <c r="Q24" s="7">
        <f>TAS_RDC200*(TAS_P*TAS_PRAFR*TAS_VFPM-TAS_P*TAS_PRAFRC200*TAS_VFPM)</f>
        <v>0</v>
      </c>
      <c r="R24" s="56">
        <f>VIC_RDC200*(VIC_P*VIC_PRAFR*VIC_VFPM-VIC_P*VIC_PRAFRC200*VIC_VFPM)</f>
        <v>0</v>
      </c>
      <c r="S24" s="32"/>
      <c r="T24" s="29"/>
    </row>
    <row r="25" spans="2:20" x14ac:dyDescent="0.25">
      <c r="B25" s="28"/>
      <c r="C25" s="172" t="s">
        <v>74</v>
      </c>
      <c r="D25" s="6">
        <f>NSW_RDC300*(NSW_P*NSW_PRAFR*NSW_VFOSL-NSW_P*NSW_PRAFRC300*NSW_VFOSL)</f>
        <v>0</v>
      </c>
      <c r="E25" s="7">
        <f>QLD_RDC300*(QLD_P*QLD_PRAFR*QLD_VFOSL-QLD_P*QLD_PRAFRC300*QLD_VFOSL)</f>
        <v>0</v>
      </c>
      <c r="F25" s="7">
        <f>SA_RDC300*(SA_P*SA_PRAFR*SA_VFOSL-SA_P*SA_PRAFRC300*SA_VFOSL)</f>
        <v>0</v>
      </c>
      <c r="G25" s="7">
        <f>TAS_RDC300*(TAS_P*TAS_PRAFR*TAS_VFOSL-TAS_P*TAS_PRAFRC300*TAS_VFOSL)</f>
        <v>0</v>
      </c>
      <c r="H25" s="56">
        <f>VIC_RDC300*(VIC_P*VIC_PRAFR*VIC_VFOSL-VIC_P*VIC_PRAFRC300*VIC_VFOSL)</f>
        <v>0</v>
      </c>
      <c r="I25" s="32"/>
      <c r="J25" s="29"/>
      <c r="K25" s="28"/>
      <c r="M25" s="41" t="s">
        <v>74</v>
      </c>
      <c r="N25" s="6">
        <f>NSW_RDC300*(NSW_P*NSW_PRAFR*NSW_VFPM-NSW_P*NSW_PRAFRC300*NSW_VFPM)</f>
        <v>0</v>
      </c>
      <c r="O25" s="7">
        <f>QLD_RDC300*(QLD_P*QLD_PRAFR*QLD_VFPM-QLD_P*QLD_PRAFRC300*QLD_VFPM)</f>
        <v>0</v>
      </c>
      <c r="P25" s="7">
        <f>SA_RDC300*(SA_P*SA_PRAFR*SA_VFPM-SA_P*SA_PRAFRC300*SA_VFPM)</f>
        <v>0</v>
      </c>
      <c r="Q25" s="7">
        <f>TAS_RDC300*(TAS_P*TAS_PRAFR*TAS_VFPM-TAS_P*TAS_PRAFRC300*TAS_VFPM)</f>
        <v>0</v>
      </c>
      <c r="R25" s="56">
        <f>VIC_RDC300*(VIC_P*VIC_PRAFR*VIC_VFPM-VIC_P*VIC_PRAFRC300*VIC_VFPM)</f>
        <v>0</v>
      </c>
      <c r="S25" s="32"/>
      <c r="T25" s="29"/>
    </row>
    <row r="26" spans="2:20" ht="18" x14ac:dyDescent="0.35">
      <c r="B26" s="28"/>
      <c r="C26" s="173" t="s">
        <v>120</v>
      </c>
      <c r="D26" s="10">
        <f>SUM(D21:D25)</f>
        <v>0</v>
      </c>
      <c r="E26" s="11">
        <f>SUM(E21:E25)</f>
        <v>0</v>
      </c>
      <c r="F26" s="11">
        <f>SUM(F21:F25)</f>
        <v>0</v>
      </c>
      <c r="G26" s="11">
        <f>SUM(G21:G25)</f>
        <v>0</v>
      </c>
      <c r="H26" s="12">
        <f>SUM(H21:H25)</f>
        <v>0</v>
      </c>
      <c r="I26" s="32"/>
      <c r="J26" s="29"/>
      <c r="K26" s="28"/>
      <c r="M26" s="47" t="s">
        <v>20</v>
      </c>
      <c r="N26" s="10">
        <f>SUM(N21:N25)</f>
        <v>0</v>
      </c>
      <c r="O26" s="11">
        <f>SUM(O21:O25)</f>
        <v>0</v>
      </c>
      <c r="P26" s="11">
        <f>SUM(P21:P25)</f>
        <v>0</v>
      </c>
      <c r="Q26" s="11">
        <f>SUM(Q21:Q25)</f>
        <v>0</v>
      </c>
      <c r="R26" s="12">
        <f>SUM(R21:R25)</f>
        <v>0</v>
      </c>
      <c r="S26" s="32"/>
      <c r="T26" s="29"/>
    </row>
    <row r="27" spans="2:20" x14ac:dyDescent="0.25">
      <c r="B27" s="28"/>
      <c r="C27" s="173"/>
      <c r="D27" s="32"/>
      <c r="E27" s="32"/>
      <c r="F27" s="32"/>
      <c r="G27" s="32"/>
      <c r="H27" s="32"/>
      <c r="I27" s="32"/>
      <c r="J27" s="29"/>
      <c r="K27" s="28"/>
      <c r="M27" s="47"/>
      <c r="N27" s="32"/>
      <c r="O27" s="32"/>
      <c r="P27" s="32"/>
      <c r="Q27" s="32"/>
      <c r="R27" s="32"/>
      <c r="S27" s="32"/>
      <c r="T27" s="29"/>
    </row>
    <row r="28" spans="2:20" x14ac:dyDescent="0.25">
      <c r="B28" s="28"/>
      <c r="C28" s="171"/>
      <c r="D28" s="57" t="s">
        <v>21</v>
      </c>
      <c r="E28" s="58"/>
      <c r="F28" s="58"/>
      <c r="G28" s="58"/>
      <c r="H28" s="59"/>
      <c r="I28" s="32"/>
      <c r="J28" s="29"/>
      <c r="K28" s="28"/>
      <c r="M28" s="32"/>
      <c r="N28" s="57" t="s">
        <v>21</v>
      </c>
      <c r="O28" s="58"/>
      <c r="P28" s="58"/>
      <c r="Q28" s="58"/>
      <c r="R28" s="59"/>
      <c r="S28" s="32"/>
      <c r="T28" s="29"/>
    </row>
    <row r="29" spans="2:20" x14ac:dyDescent="0.25">
      <c r="B29" s="28"/>
      <c r="C29" s="172" t="s">
        <v>18</v>
      </c>
      <c r="D29" s="6">
        <f>NSW_RC*NSW_P*NSW_PRAFR*NSW_VFOSL</f>
        <v>0</v>
      </c>
      <c r="E29" s="7">
        <f>QLD_RC*QLD_P*QLD_PRAFR*QLD_VFOSL</f>
        <v>0</v>
      </c>
      <c r="F29" s="7">
        <f>SA_RC*SA_P*SA_PRAFR*SA_VFOSL</f>
        <v>0</v>
      </c>
      <c r="G29" s="7">
        <f>TAS_RC*TAS_P*TAS_PRAFR*TAS_VFOSL</f>
        <v>0</v>
      </c>
      <c r="H29" s="56">
        <f>VIC_RC*VIC_P*VIC_PRAFR*VIC_VFOSL</f>
        <v>0</v>
      </c>
      <c r="I29" s="32"/>
      <c r="J29" s="29"/>
      <c r="K29" s="28"/>
      <c r="M29" s="41" t="s">
        <v>18</v>
      </c>
      <c r="N29" s="6">
        <f>NSW_RC*NSW_P*NSW_PRAFR*NSW_VFPM</f>
        <v>0</v>
      </c>
      <c r="O29" s="7">
        <f>QLD_RC*QLD_P*QLD_PRAFR*QLD_VFPM</f>
        <v>0</v>
      </c>
      <c r="P29" s="7">
        <f>SA_RC*SA_P*SA_PRAFR*SA_VFPM</f>
        <v>0</v>
      </c>
      <c r="Q29" s="7">
        <f>TAS_RC*TAS_P*TAS_PRAFR*TAS_VFPM</f>
        <v>0</v>
      </c>
      <c r="R29" s="56">
        <f>VIC_RC*VIC_P*VIC_PRAFR*VIC_VFPM</f>
        <v>0</v>
      </c>
      <c r="S29" s="32"/>
      <c r="T29" s="29"/>
    </row>
    <row r="30" spans="2:20" x14ac:dyDescent="0.25">
      <c r="B30" s="28"/>
      <c r="C30" s="172" t="s">
        <v>19</v>
      </c>
      <c r="D30" s="6">
        <f>NSW_RCS*(NSW_P*NSW_PRAFR*NSW_VFOSL-NSW_PCS)</f>
        <v>0</v>
      </c>
      <c r="E30" s="7">
        <f>QLD_RCS*(QLD_P*QLD_PRAFR*QLD_VFOSL-QLD_PCS)</f>
        <v>0</v>
      </c>
      <c r="F30" s="7">
        <f>SA_RCS*(SA_P*SA_PRAFR*SA_VFOSL-SA_PCS)</f>
        <v>0</v>
      </c>
      <c r="G30" s="7">
        <f>TAS_RCS*(TAS_P*TAS_PRAFR*TAS_VFOSL-TAS_PCS)</f>
        <v>0</v>
      </c>
      <c r="H30" s="56">
        <f>VIC_RCS*(VIC_P*VIC_PRAFR*VIC_VFOSL-VIC_PCS)</f>
        <v>0</v>
      </c>
      <c r="I30" s="32"/>
      <c r="J30" s="29"/>
      <c r="K30" s="28"/>
      <c r="M30" s="41" t="s">
        <v>19</v>
      </c>
      <c r="N30" s="6">
        <f>NSW_RCS*(NSW_P*NSW_PRAFR*NSW_VFPM-NSW_PCS)</f>
        <v>0</v>
      </c>
      <c r="O30" s="7">
        <f>QLD_RCS*(QLD_P*QLD_PRAFR*QLD_VFPM-QLD_PCS)</f>
        <v>0</v>
      </c>
      <c r="P30" s="7">
        <f>SA_RCS*(SA_P*SA_PRAFR*SA_VFPM-SA_PCS)</f>
        <v>0</v>
      </c>
      <c r="Q30" s="7">
        <f>TAS_RCS*(TAS_P*TAS_PRAFR*TAS_VFPM-TAS_PCS)</f>
        <v>0</v>
      </c>
      <c r="R30" s="56">
        <f>VIC_RCS*(VIC_P*VIC_PRAFR*VIC_VFPM-VIC_PCS)</f>
        <v>0</v>
      </c>
      <c r="S30" s="32"/>
      <c r="T30" s="29"/>
    </row>
    <row r="31" spans="2:20" x14ac:dyDescent="0.25">
      <c r="B31" s="28"/>
      <c r="C31" s="172" t="s">
        <v>72</v>
      </c>
      <c r="D31" s="6">
        <f>NSW_RCC100*(NSW_P*NSW_PRAFR*NSW_VFOSL-NSW_P*NSW_PRAFRC100*NSW_VFOSL)</f>
        <v>0</v>
      </c>
      <c r="E31" s="7">
        <f>QLD_RCC100*(QLD_P*QLD_PRAFR*QLD_VFOSL-QLD_P*QLD_PRAFRC100*QLD_VFOSL)</f>
        <v>0</v>
      </c>
      <c r="F31" s="7">
        <f>SA_RCC100*(SA_P*SA_PRAFR*SA_VFOSL-SA_P*SA_PRAFRC100*SA_VFOSL)</f>
        <v>0</v>
      </c>
      <c r="G31" s="7">
        <f>TAS_RCC100*(TAS_P*TAS_PRAFR*TAS_VFOSL-TAS_P*TAS_PRAFRC100*TAS_VFOSL)</f>
        <v>0</v>
      </c>
      <c r="H31" s="56">
        <f>VIC_RCC100*(VIC_P*VIC_PRAFR*VIC_VFOSL-VIC_P*VIC_PRAFRC100*VIC_VFOSL)</f>
        <v>0</v>
      </c>
      <c r="I31" s="32"/>
      <c r="J31" s="29"/>
      <c r="K31" s="28"/>
      <c r="M31" s="41" t="s">
        <v>72</v>
      </c>
      <c r="N31" s="6">
        <f>NSW_RCC100*(NSW_P*NSW_PRAFR*NSW_VFPM-NSW_P*NSW_PRAFRC100*NSW_VFPM)</f>
        <v>0</v>
      </c>
      <c r="O31" s="7">
        <f>QLD_RCC100*(QLD_P*QLD_PRAFR*QLD_VFPM-QLD_P*QLD_PRAFRC100*QLD_VFPM)</f>
        <v>0</v>
      </c>
      <c r="P31" s="7">
        <f>SA_RCC100*(SA_P*SA_PRAFR*SA_VFPM-SA_P*SA_PRAFRC100*SA_VFPM)</f>
        <v>0</v>
      </c>
      <c r="Q31" s="7">
        <f>TAS_RCC100*(TAS_P*TAS_PRAFR*TAS_VFPM-TAS_P*TAS_PRAFRC100*TAS_VFPM)</f>
        <v>0</v>
      </c>
      <c r="R31" s="56">
        <f>VIC_RCC100*(VIC_P*VIC_PRAFR*VIC_VFPM-VIC_P*VIC_PRAFRC100*VIC_VFPM)</f>
        <v>0</v>
      </c>
      <c r="S31" s="32"/>
      <c r="T31" s="29"/>
    </row>
    <row r="32" spans="2:20" x14ac:dyDescent="0.25">
      <c r="B32" s="28"/>
      <c r="C32" s="172" t="s">
        <v>73</v>
      </c>
      <c r="D32" s="6">
        <f>NSW_RCC200*(NSW_P*NSW_PRAFR*NSW_VFOSL-NSW_P*NSW_PRAFRC200*NSW_VFOSL)</f>
        <v>0</v>
      </c>
      <c r="E32" s="7">
        <f>QLD_RCC200*(QLD_P*QLD_PRAFR*QLD_VFOSL-QLD_P*QLD_PRAFRC200*QLD_VFOSL)</f>
        <v>0</v>
      </c>
      <c r="F32" s="7">
        <f>SA_RCC200*(SA_P*SA_PRAFR*SA_VFOSL-SA_P*SA_PRAFRC200*SA_VFOSL)</f>
        <v>0</v>
      </c>
      <c r="G32" s="7">
        <f>TAS_RCC200*(TAS_P*TAS_PRAFR*TAS_VFOSL-TAS_P*TAS_PRAFRC200*TAS_VFOSL)</f>
        <v>0</v>
      </c>
      <c r="H32" s="56">
        <f>VIC_RCC200*(VIC_P*VIC_PRAFR*VIC_VFOSL-VIC_P*VIC_PRAFRC200*VIC_VFOSL)</f>
        <v>0</v>
      </c>
      <c r="I32" s="32"/>
      <c r="J32" s="29"/>
      <c r="K32" s="28"/>
      <c r="M32" s="41" t="s">
        <v>73</v>
      </c>
      <c r="N32" s="6">
        <f>NSW_RCC200*(NSW_P*NSW_PRAFR*NSW_VFPM-NSW_P*NSW_PRAFRC200*NSW_VFPM)</f>
        <v>0</v>
      </c>
      <c r="O32" s="7">
        <f>QLD_RCC200*(QLD_P*QLD_PRAFR*QLD_VFPM-QLD_P*QLD_PRAFRC200*QLD_VFPM)</f>
        <v>0</v>
      </c>
      <c r="P32" s="7">
        <f>SA_RCC200*(SA_P*SA_PRAFR*SA_VFPM-SA_P*SA_PRAFRC200*SA_VFPM)</f>
        <v>0</v>
      </c>
      <c r="Q32" s="7">
        <f>TAS_RCC200*(TAS_P*TAS_PRAFR*TAS_VFPM-TAS_P*TAS_PRAFRC200*TAS_VFPM)</f>
        <v>0</v>
      </c>
      <c r="R32" s="56">
        <f>VIC_RCC200*(VIC_P*VIC_PRAFR*VIC_VFPM-VIC_P*VIC_PRAFRC200*VIC_VFPM)</f>
        <v>0</v>
      </c>
      <c r="S32" s="32"/>
      <c r="T32" s="29"/>
    </row>
    <row r="33" spans="1:20" x14ac:dyDescent="0.25">
      <c r="B33" s="28"/>
      <c r="C33" s="172" t="s">
        <v>74</v>
      </c>
      <c r="D33" s="6">
        <f>NSW_RCC300*(NSW_P*NSW_PRAFR*NSW_VFOSL-NSW_P*NSW_PRAFRC300*NSW_VFOSL)</f>
        <v>0</v>
      </c>
      <c r="E33" s="7">
        <f>QLD_RCC300*(QLD_P*QLD_PRAFR*QLD_VFOSL-QLD_P*QLD_PRAFRC300*QLD_VFOSL)</f>
        <v>0</v>
      </c>
      <c r="F33" s="7">
        <f>SA_RCC300*(SA_P*SA_PRAFR*SA_VFOSL-SA_P*SA_PRAFRC300*SA_VFOSL)</f>
        <v>0</v>
      </c>
      <c r="G33" s="7">
        <f>TAS_RCC300*(TAS_P*TAS_PRAFR*TAS_VFOSL-TAS_P*TAS_PRAFRC300*TAS_VFOSL)</f>
        <v>0</v>
      </c>
      <c r="H33" s="56">
        <f>VIC_RCC300*(VIC_P*VIC_PRAFR*VIC_VFOSL-VIC_P*VIC_PRAFRC300*VIC_VFOSL)</f>
        <v>0</v>
      </c>
      <c r="I33" s="32"/>
      <c r="J33" s="29"/>
      <c r="K33" s="28"/>
      <c r="M33" s="41" t="s">
        <v>74</v>
      </c>
      <c r="N33" s="6">
        <f>NSW_RCC300*(NSW_P*NSW_PRAFR*NSW_VFPM-NSW_P*NSW_PRAFRC300*NSW_VFPM)</f>
        <v>0</v>
      </c>
      <c r="O33" s="7">
        <f>QLD_RCC300*(QLD_P*QLD_PRAFR*QLD_VFPM-QLD_P*QLD_PRAFRC300*QLD_VFPM)</f>
        <v>0</v>
      </c>
      <c r="P33" s="7">
        <f>SA_RCC300*(SA_P*SA_PRAFR*SA_VFPM-SA_P*SA_PRAFRC300*SA_VFPM)</f>
        <v>0</v>
      </c>
      <c r="Q33" s="7">
        <f>TAS_RCC300*(TAS_P*TAS_PRAFR*TAS_VFPM-TAS_P*TAS_PRAFRC300*TAS_VFPM)</f>
        <v>0</v>
      </c>
      <c r="R33" s="56">
        <f>VIC_RCC300*(VIC_P*VIC_PRAFR*VIC_VFPM-VIC_P*VIC_PRAFRC300*VIC_VFPM)</f>
        <v>0</v>
      </c>
      <c r="S33" s="32"/>
      <c r="T33" s="29"/>
    </row>
    <row r="34" spans="1:20" ht="18" x14ac:dyDescent="0.35">
      <c r="B34" s="28"/>
      <c r="C34" s="173" t="s">
        <v>121</v>
      </c>
      <c r="D34" s="10">
        <f>SUM(D29:D33)</f>
        <v>0</v>
      </c>
      <c r="E34" s="11">
        <f>SUM(E29:E33)</f>
        <v>0</v>
      </c>
      <c r="F34" s="11">
        <f>SUM(F29:F33)</f>
        <v>0</v>
      </c>
      <c r="G34" s="11">
        <f>SUM(G29:G33)</f>
        <v>0</v>
      </c>
      <c r="H34" s="12">
        <f>SUM(H29:H33)</f>
        <v>0</v>
      </c>
      <c r="I34" s="32"/>
      <c r="J34" s="29"/>
      <c r="K34" s="28"/>
      <c r="M34" s="47" t="s">
        <v>22</v>
      </c>
      <c r="N34" s="10">
        <f>SUM(N29:N33)</f>
        <v>0</v>
      </c>
      <c r="O34" s="11">
        <f>SUM(O29:O33)</f>
        <v>0</v>
      </c>
      <c r="P34" s="11">
        <f>SUM(P29:P33)</f>
        <v>0</v>
      </c>
      <c r="Q34" s="11">
        <f>SUM(Q29:Q33)</f>
        <v>0</v>
      </c>
      <c r="R34" s="12">
        <f>SUM(R29:R33)</f>
        <v>0</v>
      </c>
      <c r="S34" s="32"/>
      <c r="T34" s="29"/>
    </row>
    <row r="35" spans="1:20" x14ac:dyDescent="0.25">
      <c r="B35" s="28"/>
      <c r="C35" s="173"/>
      <c r="D35" s="32"/>
      <c r="E35" s="32"/>
      <c r="F35" s="32"/>
      <c r="G35" s="32"/>
      <c r="H35" s="32"/>
      <c r="I35" s="32"/>
      <c r="J35" s="29"/>
      <c r="K35" s="28"/>
      <c r="L35" s="47"/>
      <c r="N35" s="32"/>
      <c r="O35" s="32"/>
      <c r="P35" s="32"/>
      <c r="Q35" s="32"/>
      <c r="R35" s="32"/>
      <c r="S35" s="32"/>
      <c r="T35" s="29"/>
    </row>
    <row r="36" spans="1:20" x14ac:dyDescent="0.25">
      <c r="B36" s="28"/>
      <c r="C36" s="171"/>
      <c r="D36" s="57" t="s">
        <v>48</v>
      </c>
      <c r="E36" s="58"/>
      <c r="F36" s="58"/>
      <c r="G36" s="58"/>
      <c r="H36" s="59"/>
      <c r="I36" s="32"/>
      <c r="J36" s="29"/>
      <c r="K36" s="28"/>
      <c r="L36" s="47"/>
      <c r="N36" s="32"/>
      <c r="O36" s="32"/>
      <c r="P36" s="32"/>
      <c r="Q36" s="32"/>
      <c r="R36" s="32"/>
      <c r="S36" s="32"/>
      <c r="T36" s="29"/>
    </row>
    <row r="37" spans="1:20" ht="18" x14ac:dyDescent="0.35">
      <c r="B37" s="28"/>
      <c r="C37" s="174" t="s">
        <v>122</v>
      </c>
      <c r="D37" s="13">
        <f>NSW_RDD</f>
        <v>0</v>
      </c>
      <c r="E37" s="14">
        <f>QLD_RDD</f>
        <v>0</v>
      </c>
      <c r="F37" s="14">
        <f>SA_RDD</f>
        <v>0</v>
      </c>
      <c r="G37" s="14">
        <f>TAS_RDD</f>
        <v>0</v>
      </c>
      <c r="H37" s="15">
        <f>VIC_RDD</f>
        <v>0</v>
      </c>
      <c r="I37" s="32"/>
      <c r="J37" s="29"/>
      <c r="K37" s="28"/>
      <c r="L37" s="32"/>
      <c r="N37" s="32"/>
      <c r="O37" s="32"/>
      <c r="P37" s="32"/>
      <c r="Q37" s="32"/>
      <c r="R37" s="32"/>
      <c r="S37" s="32"/>
      <c r="T37" s="29"/>
    </row>
    <row r="38" spans="1:20" ht="18" x14ac:dyDescent="0.35">
      <c r="B38" s="31"/>
      <c r="C38" s="174" t="s">
        <v>123</v>
      </c>
      <c r="D38" s="19">
        <f>NSW_RCD</f>
        <v>0</v>
      </c>
      <c r="E38" s="20">
        <f>QLD_RCD</f>
        <v>0</v>
      </c>
      <c r="F38" s="20">
        <f>SA_RCD</f>
        <v>0</v>
      </c>
      <c r="G38" s="20">
        <f>TAS_RCD</f>
        <v>0</v>
      </c>
      <c r="H38" s="21">
        <f>VIC_RCD</f>
        <v>0</v>
      </c>
      <c r="I38" s="32"/>
      <c r="J38" s="29"/>
      <c r="K38" s="28"/>
      <c r="L38" s="32"/>
      <c r="N38" s="32"/>
      <c r="O38" s="32"/>
      <c r="P38" s="32"/>
      <c r="Q38" s="32"/>
      <c r="R38" s="32"/>
      <c r="S38" s="32"/>
      <c r="T38" s="29"/>
    </row>
    <row r="39" spans="1:20" x14ac:dyDescent="0.25">
      <c r="B39" s="28"/>
      <c r="C39" s="172"/>
      <c r="D39" s="32"/>
      <c r="E39" s="32"/>
      <c r="F39" s="32"/>
      <c r="G39" s="32"/>
      <c r="H39" s="32"/>
      <c r="I39" s="32"/>
      <c r="J39" s="29"/>
      <c r="K39" s="28"/>
      <c r="L39" s="32"/>
      <c r="N39" s="32"/>
      <c r="O39" s="32"/>
      <c r="P39" s="32"/>
      <c r="Q39" s="32"/>
      <c r="R39" s="32"/>
      <c r="S39" s="32"/>
      <c r="T39" s="29"/>
    </row>
    <row r="40" spans="1:20" ht="18" x14ac:dyDescent="0.35">
      <c r="B40" s="28"/>
      <c r="C40" s="173" t="s">
        <v>124</v>
      </c>
      <c r="D40" s="13">
        <f>(D17-D18+D26-D34+D37-D38)*(TOSL)</f>
        <v>0</v>
      </c>
      <c r="E40" s="14">
        <f>(E17-E18+E26-E34+E37-E38)*(TOSL)</f>
        <v>0</v>
      </c>
      <c r="F40" s="14">
        <f>(F17-F18+F26-F34+F37-F38)*(TOSL)</f>
        <v>0</v>
      </c>
      <c r="G40" s="14">
        <f>(G17-G18+G26-G34+G37-G38)*(TOSL)</f>
        <v>0</v>
      </c>
      <c r="H40" s="15">
        <f>(H17-H18+H26-H34+H37-H38)*(TOSL)</f>
        <v>0</v>
      </c>
      <c r="I40" s="32"/>
      <c r="J40" s="29"/>
      <c r="K40" s="28"/>
      <c r="L40" s="47" t="s">
        <v>143</v>
      </c>
      <c r="M40" s="179" t="str">
        <f>IF(PM_OFFSET="Yes","U","E")</f>
        <v>E</v>
      </c>
      <c r="N40" s="13">
        <f>IF(PM_OFFSET="Yes",(N17-N18+N26-N34+D37-D38)*TRP,MAX((N17-N18)*TRP,(N17-N18)*TRP/NSW_VFPM))</f>
        <v>0</v>
      </c>
      <c r="O40" s="14">
        <f>IF(PM_OFFSET="Yes",(O17-O18+O26-O34+E37-E38)*TRP,MAX((O17-O18)*TRP,(O17-O18)*TRP/QLD_VFPM))</f>
        <v>0</v>
      </c>
      <c r="P40" s="14">
        <f>IF(PM_OFFSET="Yes",(P17-P18+P26-P34+F37-F38)*TRP,MAX((P17-P18)*TRP,(P17-P18)*TRP/SA_VFPM))</f>
        <v>0</v>
      </c>
      <c r="Q40" s="14">
        <f>IF(PM_OFFSET="Yes",(Q17-Q18+Q26-Q34+G37-G38)*TRP,MAX((Q17-Q18)*TRP,(Q17-Q18)*TRP/TAS_VFPM))</f>
        <v>0</v>
      </c>
      <c r="R40" s="15">
        <f>IF(PM_OFFSET="Yes",(R17-R18+R26-R34+H37-H38)*TRP,MAX((R17-R18)*TRP,(R17-R18)*TRP/VIC_VFPM))</f>
        <v>0</v>
      </c>
      <c r="S40" s="32"/>
      <c r="T40" s="29"/>
    </row>
    <row r="41" spans="1:20" ht="18" x14ac:dyDescent="0.35">
      <c r="B41" s="28"/>
      <c r="C41" s="173" t="s">
        <v>125</v>
      </c>
      <c r="D41" s="16">
        <f>(D40-(D37-D38)*(TOSL))/NSW_VFOSL+(D37-D38)*(TOSL)</f>
        <v>0</v>
      </c>
      <c r="E41" s="17">
        <f>(E40-(E37-E38)*(TOSL))/QLD_VFOSL+(E37-E38)*(TOSL)</f>
        <v>0</v>
      </c>
      <c r="F41" s="17">
        <f>(F40-(F37-F38)*(TOSL))/SA_VFOSL+(F37-F38)*(TOSL)</f>
        <v>0</v>
      </c>
      <c r="G41" s="17">
        <f>(G40-(G37-G38)*(TOSL))/TAS_VFOSL+(G37-G38)*(TOSL)</f>
        <v>0</v>
      </c>
      <c r="H41" s="18">
        <f>(H40-(H37-H38)*(TOSL))/VIC_VFOSL+(H37-H38)*(TOSL)</f>
        <v>0</v>
      </c>
      <c r="I41" s="32"/>
      <c r="J41" s="29"/>
      <c r="K41" s="28"/>
      <c r="L41" s="47" t="s">
        <v>143</v>
      </c>
      <c r="M41" s="179" t="str">
        <f>IF(PM_OFFSET="Yes","I","R")</f>
        <v>R</v>
      </c>
      <c r="N41" s="19">
        <f>IF(PM_OFFSET="Yes",(((N17+N26-N18-N34)/NSW_VFPM)+(D37-D38))*TRP,MAX((N26-N34+D37-D38)*TRP,(N26-N34)/NSW_VFPM*TRP+(D37-D38)*TRP))</f>
        <v>0</v>
      </c>
      <c r="O41" s="20">
        <f>IF(PM_OFFSET="Yes",(((O17+O26-O18-O34)/QLD_VFPM)+(E37-E38))*TRP,MAX((O26-O34+E37-E38)*TRP,(O26-O34)/QLD_VFPM*TRP+(E37-E38)*TRP))</f>
        <v>0</v>
      </c>
      <c r="P41" s="20">
        <f>IF(PM_OFFSET="Yes",(((P17+P26-P18-P34)/SA_VFPM)+(F37-F38))*TRP,MAX((P26-P34+F37-F38)*TRP,(P26-P34)/SA_VFPM*TRP+(F37-F38)*TRP))</f>
        <v>0</v>
      </c>
      <c r="Q41" s="20">
        <f>IF(PM_OFFSET="Yes",(((Q17+Q26-Q18-Q34)/TAS_VFPM)+(G37-G38))*TRP,MAX((Q26-Q34+G37-G38)*TRP,(Q26-Q34)/TAS_VFPM*TRP+(G37-G38)*TRP))</f>
        <v>0</v>
      </c>
      <c r="R41" s="21">
        <f>IF(PM_OFFSET="Yes",(((R17+R26-R18-R34)/VIC_VFPM)+(H37-H38))*TRP,MAX((R26-R34+H37-H38)*TRP,(R26-R34)/VIC_VFPM*TRP+(H37-H38)*TRP))</f>
        <v>0</v>
      </c>
      <c r="S41" s="32"/>
      <c r="T41" s="29"/>
    </row>
    <row r="42" spans="1:20" ht="23.25" customHeight="1" x14ac:dyDescent="0.4">
      <c r="B42" s="28"/>
      <c r="C42" s="61" t="s">
        <v>24</v>
      </c>
      <c r="D42" s="19">
        <f>MAX(D40:D41)</f>
        <v>0</v>
      </c>
      <c r="E42" s="20">
        <f>MAX(E40:E41)</f>
        <v>0</v>
      </c>
      <c r="F42" s="20">
        <f>MAX(F40:F41)</f>
        <v>0</v>
      </c>
      <c r="G42" s="20">
        <f>MAX(G40:G41)</f>
        <v>0</v>
      </c>
      <c r="H42" s="21">
        <f>MAX(H40:H41)</f>
        <v>0</v>
      </c>
      <c r="I42" s="60">
        <f>SUM(D42:H42)</f>
        <v>0</v>
      </c>
      <c r="J42" s="29"/>
      <c r="K42" s="28"/>
      <c r="L42" s="61" t="s">
        <v>25</v>
      </c>
      <c r="M42" s="180" t="str">
        <f>IF(PM_OFFSET="Yes","F","L")</f>
        <v>L</v>
      </c>
      <c r="N42" s="181" t="str">
        <f>IF(PM_OFFSET="Yes",MAX(N40,N41),"")</f>
        <v/>
      </c>
      <c r="O42" s="181" t="str">
        <f>IF(PM_OFFSET="Yes",MAX(O40,O41),"")</f>
        <v/>
      </c>
      <c r="P42" s="181" t="str">
        <f>IF(PM_OFFSET="Yes",MAX(P40,P41),"")</f>
        <v/>
      </c>
      <c r="Q42" s="181" t="str">
        <f>IF(PM_OFFSET="Yes",MAX(Q40,Q41),"")</f>
        <v/>
      </c>
      <c r="R42" s="181" t="str">
        <f>IF(PM_OFFSET="Yes",MAX(R40,R41),"")</f>
        <v/>
      </c>
      <c r="S42" s="60">
        <f>IF(PM_OFFSET="Yes",MAX(SUM(N42:R42),0),MAX(SUM(N40:R40),0)+MAX(SUM(N41:R41),0))</f>
        <v>0</v>
      </c>
      <c r="T42" s="29"/>
    </row>
    <row r="43" spans="1:20" x14ac:dyDescent="0.25">
      <c r="B43" s="33"/>
      <c r="C43" s="53"/>
      <c r="D43" s="9"/>
      <c r="E43" s="9"/>
      <c r="F43" s="9"/>
      <c r="G43" s="9"/>
      <c r="H43" s="9"/>
      <c r="I43" s="34"/>
      <c r="J43" s="35"/>
      <c r="K43" s="33"/>
      <c r="L43" s="34"/>
      <c r="M43" s="34"/>
      <c r="N43" s="34"/>
      <c r="O43" s="34"/>
      <c r="P43" s="34"/>
      <c r="Q43" s="34"/>
      <c r="R43" s="34"/>
      <c r="S43" s="34"/>
      <c r="T43" s="35"/>
    </row>
    <row r="44" spans="1:20" x14ac:dyDescent="0.25">
      <c r="A44" s="168" t="s">
        <v>108</v>
      </c>
    </row>
    <row r="45" spans="1:20" ht="13.5" customHeight="1" x14ac:dyDescent="0.25">
      <c r="A45" s="169" t="s">
        <v>127</v>
      </c>
    </row>
    <row r="46" spans="1:20" ht="13.5" customHeight="1" x14ac:dyDescent="0.25">
      <c r="A46" s="169" t="s">
        <v>113</v>
      </c>
    </row>
    <row r="47" spans="1:20" ht="13.5" customHeight="1" x14ac:dyDescent="0.25">
      <c r="A47" s="169" t="s">
        <v>128</v>
      </c>
    </row>
    <row r="48" spans="1:20" ht="13.5" customHeight="1" x14ac:dyDescent="0.25">
      <c r="A48" s="169" t="s">
        <v>129</v>
      </c>
    </row>
    <row r="49" spans="1:1" x14ac:dyDescent="0.25">
      <c r="A49" s="168" t="s">
        <v>109</v>
      </c>
    </row>
    <row r="50" spans="1:1" ht="13.5" customHeight="1" x14ac:dyDescent="0.25">
      <c r="A50" s="169" t="s">
        <v>110</v>
      </c>
    </row>
    <row r="51" spans="1:1" ht="13.5" customHeight="1" x14ac:dyDescent="0.25">
      <c r="A51" s="169" t="s">
        <v>112</v>
      </c>
    </row>
    <row r="52" spans="1:1" ht="13.5" customHeight="1" x14ac:dyDescent="0.25">
      <c r="A52" s="169" t="s">
        <v>114</v>
      </c>
    </row>
    <row r="53" spans="1:1" ht="13.5" customHeight="1" x14ac:dyDescent="0.25">
      <c r="A53" s="169" t="s">
        <v>115</v>
      </c>
    </row>
    <row r="54" spans="1:1" ht="13.5" customHeight="1" x14ac:dyDescent="0.25">
      <c r="A54" s="169" t="s">
        <v>145</v>
      </c>
    </row>
    <row r="55" spans="1:1" ht="13.5" customHeight="1" x14ac:dyDescent="0.25">
      <c r="A55" s="169" t="s">
        <v>144</v>
      </c>
    </row>
    <row r="56" spans="1:1" ht="13.5" customHeight="1" x14ac:dyDescent="0.25">
      <c r="A56" s="169" t="s">
        <v>116</v>
      </c>
    </row>
    <row r="57" spans="1:1" ht="13.5" customHeight="1" x14ac:dyDescent="0.25">
      <c r="A57" s="169" t="s">
        <v>117</v>
      </c>
    </row>
    <row r="58" spans="1:1" ht="13.5" customHeight="1" x14ac:dyDescent="0.25">
      <c r="A58" s="169" t="s">
        <v>111</v>
      </c>
    </row>
    <row r="59" spans="1:1" hidden="1" x14ac:dyDescent="0.25"/>
    <row r="60" spans="1:1" hidden="1" x14ac:dyDescent="0.25"/>
    <row r="61" spans="1:1" hidden="1" x14ac:dyDescent="0.25"/>
    <row r="62" spans="1:1" hidden="1" x14ac:dyDescent="0.25"/>
    <row r="63" spans="1:1" hidden="1" x14ac:dyDescent="0.25"/>
    <row r="64" spans="1:1" hidden="1" x14ac:dyDescent="0.25"/>
    <row r="65" hidden="1" x14ac:dyDescent="0.25"/>
    <row r="66" hidden="1" x14ac:dyDescent="0.25"/>
    <row r="67" hidden="1" x14ac:dyDescent="0.25"/>
  </sheetData>
  <sheetProtection formatCells="0" formatColumns="0" formatRows="0"/>
  <mergeCells count="4">
    <mergeCell ref="J12:N12"/>
    <mergeCell ref="L6:M6"/>
    <mergeCell ref="L7:M7"/>
    <mergeCell ref="L8:M8"/>
  </mergeCells>
  <conditionalFormatting sqref="N42:R42">
    <cfRule type="expression" dxfId="3" priority="4">
      <formula>PM_OFFSET="Yes"</formula>
    </cfRule>
    <cfRule type="expression" dxfId="2" priority="1">
      <formula>PM_OFFSET="No"</formula>
    </cfRule>
  </conditionalFormatting>
  <conditionalFormatting sqref="N42 S42">
    <cfRule type="expression" dxfId="1" priority="3">
      <formula>PM_OFFSET="Yes"</formula>
    </cfRule>
  </conditionalFormatting>
  <conditionalFormatting sqref="N41:R41">
    <cfRule type="expression" dxfId="0" priority="2">
      <formula>PM_OFFSET="Yes"</formula>
    </cfRule>
  </conditionalFormatting>
  <pageMargins left="0.27157738095238093" right="1.1011904761904763E-2" top="8.6309523809523808E-2" bottom="0.3392857142857143" header="0.31496062992125984" footer="8.9285714285714288E-2"/>
  <pageSetup paperSize="9" scale="64" orientation="landscape" verticalDpi="0" r:id="rId1"/>
  <headerFooter>
    <oddFooter xml:space="preserve">&amp;C&amp;10&amp;D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40"/>
  <sheetViews>
    <sheetView showGridLines="0" view="pageBreakPreview" zoomScale="80" zoomScaleNormal="80" zoomScaleSheetLayoutView="80" workbookViewId="0">
      <selection activeCell="H11" sqref="H11:L12"/>
    </sheetView>
  </sheetViews>
  <sheetFormatPr defaultRowHeight="15" x14ac:dyDescent="0.25"/>
  <cols>
    <col min="1" max="1" width="1.7109375" customWidth="1"/>
    <col min="2" max="2" width="17.5703125" customWidth="1"/>
    <col min="3" max="3" width="7.85546875" customWidth="1"/>
    <col min="4" max="51" width="10.28515625" customWidth="1"/>
  </cols>
  <sheetData>
    <row r="1" spans="1:51" s="3" customFormat="1" ht="8.25" customHeight="1" x14ac:dyDescent="0.25">
      <c r="J1" s="134"/>
      <c r="K1" s="134"/>
      <c r="L1" s="134"/>
      <c r="M1" s="134"/>
      <c r="N1" s="134"/>
      <c r="O1" s="134"/>
      <c r="P1" s="134"/>
      <c r="Q1" s="134"/>
    </row>
    <row r="2" spans="1:51" ht="26.25" x14ac:dyDescent="0.4">
      <c r="B2" s="7"/>
      <c r="C2" s="7"/>
      <c r="D2" s="124" t="s">
        <v>139</v>
      </c>
      <c r="E2" s="7"/>
      <c r="F2" s="7"/>
      <c r="G2" s="26"/>
      <c r="H2" s="25"/>
      <c r="I2" s="25"/>
      <c r="J2" s="25"/>
      <c r="K2" s="25"/>
      <c r="L2" s="8"/>
      <c r="M2" s="8"/>
      <c r="N2" s="8"/>
      <c r="O2" s="8"/>
      <c r="P2" s="8"/>
    </row>
    <row r="3" spans="1:51" ht="15.75" x14ac:dyDescent="0.25">
      <c r="A3" s="66"/>
      <c r="B3" s="7"/>
      <c r="C3" s="7"/>
      <c r="D3" s="7"/>
      <c r="E3" s="7"/>
      <c r="F3" s="7"/>
      <c r="G3" s="26"/>
      <c r="H3" s="25"/>
      <c r="I3" s="25"/>
      <c r="J3" s="25"/>
      <c r="K3" s="25"/>
      <c r="L3" s="8"/>
      <c r="M3" s="8"/>
      <c r="N3" s="8"/>
      <c r="O3" s="8"/>
      <c r="P3" s="8"/>
    </row>
    <row r="4" spans="1:51" ht="15.75" x14ac:dyDescent="0.25">
      <c r="G4" s="143"/>
      <c r="H4" s="76" t="s">
        <v>0</v>
      </c>
      <c r="I4" s="76" t="s">
        <v>1</v>
      </c>
      <c r="J4" s="76" t="s">
        <v>2</v>
      </c>
      <c r="K4" s="76" t="s">
        <v>3</v>
      </c>
      <c r="L4" s="76" t="s">
        <v>4</v>
      </c>
      <c r="M4" s="8"/>
      <c r="N4" s="8"/>
      <c r="O4" s="8"/>
      <c r="P4" s="8"/>
      <c r="Q4" s="8"/>
    </row>
    <row r="5" spans="1:51" ht="19.5" customHeight="1" x14ac:dyDescent="0.35">
      <c r="D5" s="194" t="s">
        <v>132</v>
      </c>
      <c r="E5" s="194"/>
      <c r="F5" s="195"/>
      <c r="G5" s="83" t="s">
        <v>49</v>
      </c>
      <c r="H5" s="4">
        <f>SUM(D16:AY16)</f>
        <v>179809</v>
      </c>
      <c r="I5" s="5">
        <f>SUM(D17:AY17)</f>
        <v>143297</v>
      </c>
      <c r="J5" s="5">
        <f>SUM(D18:AY18)</f>
        <v>34834</v>
      </c>
      <c r="K5" s="5">
        <f>SUM(D19:AY19)</f>
        <v>25509</v>
      </c>
      <c r="L5" s="120">
        <f>SUM(D20:AY20)</f>
        <v>111533</v>
      </c>
      <c r="M5" s="8"/>
      <c r="N5" s="8"/>
      <c r="O5" s="8"/>
      <c r="P5" s="8"/>
      <c r="Q5" s="8"/>
    </row>
    <row r="6" spans="1:51" ht="19.5" customHeight="1" x14ac:dyDescent="0.35">
      <c r="D6" s="194" t="s">
        <v>133</v>
      </c>
      <c r="E6" s="194"/>
      <c r="F6" s="195"/>
      <c r="G6" s="83" t="s">
        <v>47</v>
      </c>
      <c r="H6" s="147">
        <v>38.049999999999997</v>
      </c>
      <c r="I6" s="148">
        <v>49.63</v>
      </c>
      <c r="J6" s="148">
        <v>48.14</v>
      </c>
      <c r="K6" s="148">
        <v>42.83</v>
      </c>
      <c r="L6" s="149">
        <v>35.36</v>
      </c>
      <c r="M6" s="26" t="s">
        <v>98</v>
      </c>
      <c r="N6" s="8"/>
      <c r="O6" s="8"/>
      <c r="P6" s="8"/>
      <c r="Q6" s="8"/>
    </row>
    <row r="7" spans="1:51" ht="19.5" customHeight="1" x14ac:dyDescent="0.35">
      <c r="D7" s="196" t="s">
        <v>134</v>
      </c>
      <c r="E7" s="196"/>
      <c r="F7" s="197"/>
      <c r="G7" s="83" t="s">
        <v>50</v>
      </c>
      <c r="H7" s="22">
        <f>SUMPRODUCT(D21:AY21,D16:AY16)/SUM(D16:AY16)</f>
        <v>38.413712884227159</v>
      </c>
      <c r="I7" s="23">
        <f>SUMPRODUCT(D22:AY22,D17:AY17)/SUM(D17:AY17)</f>
        <v>47.613880681382021</v>
      </c>
      <c r="J7" s="23">
        <f>SUMPRODUCT(D23:AY23,D18:AY18)/SUM(D18:AY18)</f>
        <v>46.768330366882928</v>
      </c>
      <c r="K7" s="23">
        <f>SUMPRODUCT(D24:AY24,D19:AY19)/SUM(D19:AY19)</f>
        <v>42.354530949860823</v>
      </c>
      <c r="L7" s="24">
        <f>SUMPRODUCT(D25:AY25,D20:AY20)/SUM(D20:AY20)</f>
        <v>35.834634951090713</v>
      </c>
      <c r="M7" s="8"/>
      <c r="N7" s="8"/>
      <c r="O7" s="8"/>
      <c r="P7" s="8"/>
      <c r="Q7" s="8"/>
    </row>
    <row r="8" spans="1:51" ht="19.5" customHeight="1" x14ac:dyDescent="0.35">
      <c r="D8" s="142"/>
      <c r="E8" s="141"/>
      <c r="G8" s="83" t="s">
        <v>86</v>
      </c>
      <c r="H8" s="22">
        <f>SUMPRODUCT(D26:AY26,D16:AY16)/SUM(D16:AY16)</f>
        <v>30.469597517365646</v>
      </c>
      <c r="I8" s="23">
        <f>SUMPRODUCT(D27:AY27,D17:AY17)/SUM(D17:AY17)</f>
        <v>32.192892872844517</v>
      </c>
      <c r="J8" s="23">
        <f>SUMPRODUCT(D28:AY28,D18:AY18)/SUM(D18:AY18)</f>
        <v>32.355495492909235</v>
      </c>
      <c r="K8" s="23">
        <f>SUMPRODUCT(D29:AY29,D19:AY19)/SUM(D19:AY19)</f>
        <v>39.782860166999889</v>
      </c>
      <c r="L8" s="24">
        <f>SUMPRODUCT(D30:AY30,D20:AY20)/SUM(D20:AY20)</f>
        <v>28.844141733836629</v>
      </c>
      <c r="M8" s="8"/>
      <c r="N8" s="8"/>
      <c r="O8" s="8"/>
      <c r="P8" s="8"/>
      <c r="Q8" s="8"/>
    </row>
    <row r="9" spans="1:51" ht="19.5" customHeight="1" x14ac:dyDescent="0.35">
      <c r="D9" s="142"/>
      <c r="E9" s="141"/>
      <c r="G9" s="83" t="s">
        <v>87</v>
      </c>
      <c r="H9" s="109">
        <f>SUMPRODUCT(D31:AY31,D16:AY16)/SUM(D16:AY16)</f>
        <v>31.487221718601404</v>
      </c>
      <c r="I9" s="110">
        <f>SUMPRODUCT(D32:AY32,D17:AY17)/SUM(D17:AY17)</f>
        <v>34.860069505991056</v>
      </c>
      <c r="J9" s="110">
        <f>SUMPRODUCT(D33:AY33,D18:AY18)/SUM(D18:AY18)</f>
        <v>34.22773927771717</v>
      </c>
      <c r="K9" s="110">
        <f>SUMPRODUCT(D34:AY34,D19:AY19)/SUM(D19:AY19)</f>
        <v>40.294050727194325</v>
      </c>
      <c r="L9" s="111">
        <f>SUMPRODUCT(D35:AY35,D20:AY20)/SUM(D20:AY20)</f>
        <v>29.776557879730664</v>
      </c>
      <c r="M9" s="8"/>
      <c r="N9" s="8"/>
      <c r="O9" s="8"/>
      <c r="P9" s="8"/>
      <c r="Q9" s="8"/>
    </row>
    <row r="10" spans="1:51" ht="19.5" customHeight="1" x14ac:dyDescent="0.35">
      <c r="D10" s="142"/>
      <c r="E10" s="141"/>
      <c r="G10" s="83" t="s">
        <v>88</v>
      </c>
      <c r="H10" s="109">
        <f>SUMPRODUCT(D36:AY36,D16:AY16)/SUM(D16:AY16)</f>
        <v>32.096395619796567</v>
      </c>
      <c r="I10" s="110">
        <f>SUMPRODUCT(D37:AY37,D17:AY17)/SUM(D17:AY17)</f>
        <v>36.243875726637668</v>
      </c>
      <c r="J10" s="110">
        <f>SUMPRODUCT(D38:AY38,D18:AY18)/SUM(D18:AY18)</f>
        <v>35.198450077510472</v>
      </c>
      <c r="K10" s="110">
        <f>SUMPRODUCT(D39:AY39,D19:AY19)/SUM(D19:AY19)</f>
        <v>40.506970088988197</v>
      </c>
      <c r="L10" s="111">
        <f>SUMPRODUCT(D40:AY40,D20:AY20)/SUM(D20:AY20)</f>
        <v>30.29029372472721</v>
      </c>
      <c r="M10" s="8"/>
      <c r="N10" s="8"/>
      <c r="O10" s="8"/>
      <c r="P10" s="8"/>
      <c r="Q10" s="8"/>
    </row>
    <row r="11" spans="1:51" ht="19.5" customHeight="1" x14ac:dyDescent="0.35">
      <c r="C11" s="192" t="s">
        <v>135</v>
      </c>
      <c r="D11" s="192"/>
      <c r="E11" s="192"/>
      <c r="F11" s="193"/>
      <c r="G11" s="83" t="s">
        <v>45</v>
      </c>
      <c r="H11" s="150">
        <v>1.43</v>
      </c>
      <c r="I11" s="151">
        <v>1.69</v>
      </c>
      <c r="J11" s="151">
        <v>1.8</v>
      </c>
      <c r="K11" s="151">
        <v>1.1100000000000001</v>
      </c>
      <c r="L11" s="152">
        <v>1.52</v>
      </c>
      <c r="M11" s="187" t="s">
        <v>97</v>
      </c>
      <c r="N11" s="188"/>
      <c r="O11" s="188"/>
      <c r="P11" s="188"/>
      <c r="Q11" s="188"/>
      <c r="R11" s="188"/>
      <c r="S11" s="188"/>
      <c r="T11" s="188"/>
      <c r="U11" s="188"/>
    </row>
    <row r="12" spans="1:51" ht="19.5" customHeight="1" x14ac:dyDescent="0.35">
      <c r="C12" s="192" t="s">
        <v>136</v>
      </c>
      <c r="D12" s="192"/>
      <c r="E12" s="192"/>
      <c r="F12" s="193"/>
      <c r="G12" s="83" t="s">
        <v>46</v>
      </c>
      <c r="H12" s="153">
        <v>1.64</v>
      </c>
      <c r="I12" s="154">
        <v>2.99</v>
      </c>
      <c r="J12" s="154">
        <v>3.82</v>
      </c>
      <c r="K12" s="154">
        <v>1.1100000000000001</v>
      </c>
      <c r="L12" s="155">
        <v>2.57</v>
      </c>
      <c r="M12" s="187"/>
      <c r="N12" s="188"/>
      <c r="O12" s="188"/>
      <c r="P12" s="188"/>
      <c r="Q12" s="188"/>
      <c r="R12" s="188"/>
      <c r="S12" s="188"/>
      <c r="T12" s="188"/>
      <c r="U12" s="188"/>
    </row>
    <row r="13" spans="1:51" ht="19.5" customHeight="1" x14ac:dyDescent="0.25">
      <c r="A13" s="66"/>
      <c r="B13" s="7"/>
      <c r="C13" s="7"/>
      <c r="D13" s="7"/>
      <c r="E13" s="7"/>
      <c r="F13" s="7"/>
      <c r="G13" s="26"/>
      <c r="H13" s="25"/>
      <c r="I13" s="25"/>
      <c r="J13" s="25"/>
      <c r="K13" s="25"/>
      <c r="L13" s="8"/>
      <c r="M13" s="8"/>
      <c r="N13" s="8"/>
      <c r="O13" s="8"/>
      <c r="P13" s="8"/>
    </row>
    <row r="14" spans="1:51" ht="15.75" x14ac:dyDescent="0.25">
      <c r="A14" s="66"/>
      <c r="B14" s="7"/>
      <c r="C14" s="7"/>
      <c r="D14" s="7"/>
      <c r="E14" s="7"/>
      <c r="F14" s="7"/>
      <c r="G14" s="26"/>
      <c r="H14" s="25"/>
      <c r="I14" s="25"/>
      <c r="J14" s="25"/>
      <c r="K14" s="25"/>
      <c r="L14" s="8"/>
      <c r="M14" s="8"/>
      <c r="N14" s="8"/>
      <c r="O14" s="8"/>
      <c r="P14" s="8"/>
    </row>
    <row r="15" spans="1:51" ht="16.5" thickBot="1" x14ac:dyDescent="0.3">
      <c r="B15" s="198" t="s">
        <v>13</v>
      </c>
      <c r="C15" s="199"/>
      <c r="D15" s="88">
        <v>1</v>
      </c>
      <c r="E15" s="88">
        <v>2</v>
      </c>
      <c r="F15" s="88">
        <v>3</v>
      </c>
      <c r="G15" s="88">
        <v>4</v>
      </c>
      <c r="H15" s="88">
        <v>5</v>
      </c>
      <c r="I15" s="88">
        <v>6</v>
      </c>
      <c r="J15" s="88">
        <v>7</v>
      </c>
      <c r="K15" s="88">
        <v>8</v>
      </c>
      <c r="L15" s="88">
        <v>9</v>
      </c>
      <c r="M15" s="88">
        <v>10</v>
      </c>
      <c r="N15" s="88">
        <v>11</v>
      </c>
      <c r="O15" s="88">
        <v>12</v>
      </c>
      <c r="P15" s="88">
        <v>13</v>
      </c>
      <c r="Q15" s="88">
        <v>14</v>
      </c>
      <c r="R15" s="88">
        <v>15</v>
      </c>
      <c r="S15" s="88">
        <v>16</v>
      </c>
      <c r="T15" s="88">
        <v>17</v>
      </c>
      <c r="U15" s="88">
        <v>18</v>
      </c>
      <c r="V15" s="88">
        <v>19</v>
      </c>
      <c r="W15" s="88">
        <v>20</v>
      </c>
      <c r="X15" s="88">
        <v>21</v>
      </c>
      <c r="Y15" s="88">
        <v>22</v>
      </c>
      <c r="Z15" s="88">
        <v>23</v>
      </c>
      <c r="AA15" s="88">
        <v>24</v>
      </c>
      <c r="AB15" s="88">
        <v>25</v>
      </c>
      <c r="AC15" s="88">
        <v>26</v>
      </c>
      <c r="AD15" s="88">
        <v>27</v>
      </c>
      <c r="AE15" s="88">
        <v>28</v>
      </c>
      <c r="AF15" s="88">
        <v>29</v>
      </c>
      <c r="AG15" s="88">
        <v>30</v>
      </c>
      <c r="AH15" s="88">
        <v>31</v>
      </c>
      <c r="AI15" s="88">
        <v>32</v>
      </c>
      <c r="AJ15" s="88">
        <v>33</v>
      </c>
      <c r="AK15" s="88">
        <v>34</v>
      </c>
      <c r="AL15" s="88">
        <v>35</v>
      </c>
      <c r="AM15" s="88">
        <v>36</v>
      </c>
      <c r="AN15" s="88">
        <v>37</v>
      </c>
      <c r="AO15" s="88">
        <v>38</v>
      </c>
      <c r="AP15" s="88">
        <v>39</v>
      </c>
      <c r="AQ15" s="88">
        <v>40</v>
      </c>
      <c r="AR15" s="88">
        <v>41</v>
      </c>
      <c r="AS15" s="88">
        <v>42</v>
      </c>
      <c r="AT15" s="88">
        <v>43</v>
      </c>
      <c r="AU15" s="88">
        <v>44</v>
      </c>
      <c r="AV15" s="88">
        <v>45</v>
      </c>
      <c r="AW15" s="88">
        <v>46</v>
      </c>
      <c r="AX15" s="88">
        <v>47</v>
      </c>
      <c r="AY15" s="88">
        <v>48</v>
      </c>
    </row>
    <row r="16" spans="1:51" ht="15" customHeight="1" x14ac:dyDescent="0.25">
      <c r="B16" s="189" t="s">
        <v>70</v>
      </c>
      <c r="C16" s="89" t="s">
        <v>0</v>
      </c>
      <c r="D16" s="91">
        <v>3294</v>
      </c>
      <c r="E16" s="92">
        <v>3193</v>
      </c>
      <c r="F16" s="92">
        <v>3060</v>
      </c>
      <c r="G16" s="92">
        <v>2954</v>
      </c>
      <c r="H16" s="92">
        <v>2888</v>
      </c>
      <c r="I16" s="92">
        <v>2852</v>
      </c>
      <c r="J16" s="92">
        <v>2846</v>
      </c>
      <c r="K16" s="92">
        <v>2865</v>
      </c>
      <c r="L16" s="92">
        <v>2934</v>
      </c>
      <c r="M16" s="92">
        <v>3012</v>
      </c>
      <c r="N16" s="92">
        <v>3176</v>
      </c>
      <c r="O16" s="92">
        <v>3334</v>
      </c>
      <c r="P16" s="92">
        <v>3491</v>
      </c>
      <c r="Q16" s="92">
        <v>3636</v>
      </c>
      <c r="R16" s="92">
        <v>3742</v>
      </c>
      <c r="S16" s="92">
        <v>3827</v>
      </c>
      <c r="T16" s="92">
        <v>3920</v>
      </c>
      <c r="U16" s="92">
        <v>3973</v>
      </c>
      <c r="V16" s="92">
        <v>4017</v>
      </c>
      <c r="W16" s="92">
        <v>4043</v>
      </c>
      <c r="X16" s="92">
        <v>4058</v>
      </c>
      <c r="Y16" s="92">
        <v>4079</v>
      </c>
      <c r="Z16" s="92">
        <v>4087</v>
      </c>
      <c r="AA16" s="92">
        <v>4106</v>
      </c>
      <c r="AB16" s="92">
        <v>4128</v>
      </c>
      <c r="AC16" s="92">
        <v>4151</v>
      </c>
      <c r="AD16" s="92">
        <v>4174</v>
      </c>
      <c r="AE16" s="92">
        <v>4194</v>
      </c>
      <c r="AF16" s="92">
        <v>4214</v>
      </c>
      <c r="AG16" s="92">
        <v>4257</v>
      </c>
      <c r="AH16" s="92">
        <v>4291</v>
      </c>
      <c r="AI16" s="92">
        <v>4318</v>
      </c>
      <c r="AJ16" s="92">
        <v>4317</v>
      </c>
      <c r="AK16" s="92">
        <v>4317</v>
      </c>
      <c r="AL16" s="92">
        <v>4257</v>
      </c>
      <c r="AM16" s="92">
        <v>4217</v>
      </c>
      <c r="AN16" s="92">
        <v>4145</v>
      </c>
      <c r="AO16" s="92">
        <v>4103</v>
      </c>
      <c r="AP16" s="92">
        <v>4080</v>
      </c>
      <c r="AQ16" s="92">
        <v>4038</v>
      </c>
      <c r="AR16" s="92">
        <v>3941</v>
      </c>
      <c r="AS16" s="92">
        <v>3820</v>
      </c>
      <c r="AT16" s="92">
        <v>3765</v>
      </c>
      <c r="AU16" s="92">
        <v>3674</v>
      </c>
      <c r="AV16" s="92">
        <v>3639</v>
      </c>
      <c r="AW16" s="92">
        <v>3552</v>
      </c>
      <c r="AX16" s="92">
        <v>3452</v>
      </c>
      <c r="AY16" s="93">
        <v>3378</v>
      </c>
    </row>
    <row r="17" spans="2:51" ht="15" customHeight="1" x14ac:dyDescent="0.25">
      <c r="B17" s="190" t="s">
        <v>70</v>
      </c>
      <c r="C17" s="76" t="s">
        <v>1</v>
      </c>
      <c r="D17" s="94">
        <v>2666</v>
      </c>
      <c r="E17" s="95">
        <v>2591</v>
      </c>
      <c r="F17" s="95">
        <v>2526</v>
      </c>
      <c r="G17" s="95">
        <v>2484</v>
      </c>
      <c r="H17" s="95">
        <v>2459</v>
      </c>
      <c r="I17" s="95">
        <v>2443</v>
      </c>
      <c r="J17" s="95">
        <v>2434</v>
      </c>
      <c r="K17" s="95">
        <v>2431</v>
      </c>
      <c r="L17" s="95">
        <v>2443</v>
      </c>
      <c r="M17" s="95">
        <v>2461</v>
      </c>
      <c r="N17" s="95">
        <v>2506</v>
      </c>
      <c r="O17" s="95">
        <v>2556</v>
      </c>
      <c r="P17" s="95">
        <v>2658</v>
      </c>
      <c r="Q17" s="95">
        <v>2762</v>
      </c>
      <c r="R17" s="95">
        <v>2875</v>
      </c>
      <c r="S17" s="95">
        <v>2938</v>
      </c>
      <c r="T17" s="95">
        <v>2988</v>
      </c>
      <c r="U17" s="95">
        <v>3024</v>
      </c>
      <c r="V17" s="95">
        <v>3050</v>
      </c>
      <c r="W17" s="95">
        <v>3063</v>
      </c>
      <c r="X17" s="95">
        <v>3077</v>
      </c>
      <c r="Y17" s="95">
        <v>3094</v>
      </c>
      <c r="Z17" s="95">
        <v>3101</v>
      </c>
      <c r="AA17" s="95">
        <v>3126</v>
      </c>
      <c r="AB17" s="95">
        <v>3145</v>
      </c>
      <c r="AC17" s="95">
        <v>3170</v>
      </c>
      <c r="AD17" s="95">
        <v>3199</v>
      </c>
      <c r="AE17" s="95">
        <v>3229</v>
      </c>
      <c r="AF17" s="95">
        <v>3259</v>
      </c>
      <c r="AG17" s="95">
        <v>3284</v>
      </c>
      <c r="AH17" s="95">
        <v>3310</v>
      </c>
      <c r="AI17" s="95">
        <v>3349</v>
      </c>
      <c r="AJ17" s="95">
        <v>3382</v>
      </c>
      <c r="AK17" s="95">
        <v>3417</v>
      </c>
      <c r="AL17" s="95">
        <v>3407</v>
      </c>
      <c r="AM17" s="95">
        <v>3386</v>
      </c>
      <c r="AN17" s="95">
        <v>3364</v>
      </c>
      <c r="AO17" s="95">
        <v>3408</v>
      </c>
      <c r="AP17" s="95">
        <v>3408</v>
      </c>
      <c r="AQ17" s="95">
        <v>3385</v>
      </c>
      <c r="AR17" s="95">
        <v>3335</v>
      </c>
      <c r="AS17" s="95">
        <v>3249</v>
      </c>
      <c r="AT17" s="95">
        <v>3174</v>
      </c>
      <c r="AU17" s="95">
        <v>3091</v>
      </c>
      <c r="AV17" s="95">
        <v>3008</v>
      </c>
      <c r="AW17" s="95">
        <v>2942</v>
      </c>
      <c r="AX17" s="95">
        <v>2870</v>
      </c>
      <c r="AY17" s="96">
        <v>2770</v>
      </c>
    </row>
    <row r="18" spans="2:51" ht="15" customHeight="1" x14ac:dyDescent="0.25">
      <c r="B18" s="190" t="s">
        <v>70</v>
      </c>
      <c r="C18" s="76" t="s">
        <v>2</v>
      </c>
      <c r="D18" s="94">
        <v>740</v>
      </c>
      <c r="E18" s="95">
        <v>698</v>
      </c>
      <c r="F18" s="95">
        <v>660</v>
      </c>
      <c r="G18" s="95">
        <v>632</v>
      </c>
      <c r="H18" s="95">
        <v>615</v>
      </c>
      <c r="I18" s="95">
        <v>604</v>
      </c>
      <c r="J18" s="95">
        <v>596</v>
      </c>
      <c r="K18" s="95">
        <v>595</v>
      </c>
      <c r="L18" s="95">
        <v>597</v>
      </c>
      <c r="M18" s="95">
        <v>606</v>
      </c>
      <c r="N18" s="95">
        <v>618</v>
      </c>
      <c r="O18" s="95">
        <v>642</v>
      </c>
      <c r="P18" s="95">
        <v>664</v>
      </c>
      <c r="Q18" s="95">
        <v>698</v>
      </c>
      <c r="R18" s="95">
        <v>718</v>
      </c>
      <c r="S18" s="95">
        <v>711</v>
      </c>
      <c r="T18" s="95">
        <v>713</v>
      </c>
      <c r="U18" s="95">
        <v>715</v>
      </c>
      <c r="V18" s="95">
        <v>709</v>
      </c>
      <c r="W18" s="95">
        <v>704</v>
      </c>
      <c r="X18" s="95">
        <v>701</v>
      </c>
      <c r="Y18" s="95">
        <v>700</v>
      </c>
      <c r="Z18" s="95">
        <v>703</v>
      </c>
      <c r="AA18" s="95">
        <v>708</v>
      </c>
      <c r="AB18" s="95">
        <v>713</v>
      </c>
      <c r="AC18" s="95">
        <v>721</v>
      </c>
      <c r="AD18" s="95">
        <v>731</v>
      </c>
      <c r="AE18" s="95">
        <v>743</v>
      </c>
      <c r="AF18" s="95">
        <v>750</v>
      </c>
      <c r="AG18" s="95">
        <v>760</v>
      </c>
      <c r="AH18" s="95">
        <v>776</v>
      </c>
      <c r="AI18" s="95">
        <v>795</v>
      </c>
      <c r="AJ18" s="95">
        <v>815</v>
      </c>
      <c r="AK18" s="95">
        <v>830</v>
      </c>
      <c r="AL18" s="95">
        <v>844</v>
      </c>
      <c r="AM18" s="95">
        <v>849</v>
      </c>
      <c r="AN18" s="95">
        <v>853</v>
      </c>
      <c r="AO18" s="95">
        <v>848</v>
      </c>
      <c r="AP18" s="95">
        <v>840</v>
      </c>
      <c r="AQ18" s="95">
        <v>830</v>
      </c>
      <c r="AR18" s="95">
        <v>824</v>
      </c>
      <c r="AS18" s="95">
        <v>809</v>
      </c>
      <c r="AT18" s="95">
        <v>784</v>
      </c>
      <c r="AU18" s="95">
        <v>756</v>
      </c>
      <c r="AV18" s="95">
        <v>727</v>
      </c>
      <c r="AW18" s="95">
        <v>707</v>
      </c>
      <c r="AX18" s="95">
        <v>690</v>
      </c>
      <c r="AY18" s="96">
        <v>792</v>
      </c>
    </row>
    <row r="19" spans="2:51" ht="15" customHeight="1" x14ac:dyDescent="0.25">
      <c r="B19" s="190" t="s">
        <v>70</v>
      </c>
      <c r="C19" s="76" t="s">
        <v>3</v>
      </c>
      <c r="D19" s="94">
        <v>491</v>
      </c>
      <c r="E19" s="95">
        <v>488</v>
      </c>
      <c r="F19" s="95">
        <v>486</v>
      </c>
      <c r="G19" s="95">
        <v>485</v>
      </c>
      <c r="H19" s="95">
        <v>484</v>
      </c>
      <c r="I19" s="95">
        <v>484</v>
      </c>
      <c r="J19" s="95">
        <v>485</v>
      </c>
      <c r="K19" s="95">
        <v>488</v>
      </c>
      <c r="L19" s="95">
        <v>493</v>
      </c>
      <c r="M19" s="95">
        <v>500</v>
      </c>
      <c r="N19" s="95">
        <v>515</v>
      </c>
      <c r="O19" s="95">
        <v>533</v>
      </c>
      <c r="P19" s="95">
        <v>553</v>
      </c>
      <c r="Q19" s="95">
        <v>566</v>
      </c>
      <c r="R19" s="95">
        <v>568</v>
      </c>
      <c r="S19" s="95">
        <v>565</v>
      </c>
      <c r="T19" s="95">
        <v>562</v>
      </c>
      <c r="U19" s="95">
        <v>558</v>
      </c>
      <c r="V19" s="95">
        <v>551</v>
      </c>
      <c r="W19" s="95">
        <v>545</v>
      </c>
      <c r="X19" s="95">
        <v>540</v>
      </c>
      <c r="Y19" s="95">
        <v>536</v>
      </c>
      <c r="Z19" s="95">
        <v>534</v>
      </c>
      <c r="AA19" s="95">
        <v>531</v>
      </c>
      <c r="AB19" s="95">
        <v>528</v>
      </c>
      <c r="AC19" s="95">
        <v>526</v>
      </c>
      <c r="AD19" s="95">
        <v>526</v>
      </c>
      <c r="AE19" s="95">
        <v>526</v>
      </c>
      <c r="AF19" s="95">
        <v>530</v>
      </c>
      <c r="AG19" s="95">
        <v>533</v>
      </c>
      <c r="AH19" s="95">
        <v>537</v>
      </c>
      <c r="AI19" s="95">
        <v>545</v>
      </c>
      <c r="AJ19" s="95">
        <v>554</v>
      </c>
      <c r="AK19" s="95">
        <v>562</v>
      </c>
      <c r="AL19" s="95">
        <v>566</v>
      </c>
      <c r="AM19" s="95">
        <v>567</v>
      </c>
      <c r="AN19" s="95">
        <v>564</v>
      </c>
      <c r="AO19" s="95">
        <v>564</v>
      </c>
      <c r="AP19" s="95">
        <v>563</v>
      </c>
      <c r="AQ19" s="95">
        <v>563</v>
      </c>
      <c r="AR19" s="95">
        <v>562</v>
      </c>
      <c r="AS19" s="95">
        <v>554</v>
      </c>
      <c r="AT19" s="95">
        <v>543</v>
      </c>
      <c r="AU19" s="95">
        <v>531</v>
      </c>
      <c r="AV19" s="95">
        <v>519</v>
      </c>
      <c r="AW19" s="95">
        <v>509</v>
      </c>
      <c r="AX19" s="95">
        <v>501</v>
      </c>
      <c r="AY19" s="96">
        <v>495</v>
      </c>
    </row>
    <row r="20" spans="2:51" ht="15.75" customHeight="1" thickBot="1" x14ac:dyDescent="0.3">
      <c r="B20" s="191" t="s">
        <v>70</v>
      </c>
      <c r="C20" s="90" t="s">
        <v>4</v>
      </c>
      <c r="D20" s="97">
        <v>2076</v>
      </c>
      <c r="E20" s="98">
        <v>1987</v>
      </c>
      <c r="F20" s="98">
        <v>1919</v>
      </c>
      <c r="G20" s="98">
        <v>1849</v>
      </c>
      <c r="H20" s="98">
        <v>1798</v>
      </c>
      <c r="I20" s="98">
        <v>1766</v>
      </c>
      <c r="J20" s="98">
        <v>1757</v>
      </c>
      <c r="K20" s="98">
        <v>1763</v>
      </c>
      <c r="L20" s="98">
        <v>1803</v>
      </c>
      <c r="M20" s="98">
        <v>1859</v>
      </c>
      <c r="N20" s="98">
        <v>1972</v>
      </c>
      <c r="O20" s="98">
        <v>2084</v>
      </c>
      <c r="P20" s="98">
        <v>2226</v>
      </c>
      <c r="Q20" s="98">
        <v>2332</v>
      </c>
      <c r="R20" s="98">
        <v>2332</v>
      </c>
      <c r="S20" s="98">
        <v>2372</v>
      </c>
      <c r="T20" s="98">
        <v>2413</v>
      </c>
      <c r="U20" s="98">
        <v>2432</v>
      </c>
      <c r="V20" s="98">
        <v>2453</v>
      </c>
      <c r="W20" s="98">
        <v>2470</v>
      </c>
      <c r="X20" s="98">
        <v>2486</v>
      </c>
      <c r="Y20" s="98">
        <v>2508</v>
      </c>
      <c r="Z20" s="98">
        <v>2523</v>
      </c>
      <c r="AA20" s="98">
        <v>2536</v>
      </c>
      <c r="AB20" s="98">
        <v>2550</v>
      </c>
      <c r="AC20" s="98">
        <v>2570</v>
      </c>
      <c r="AD20" s="98">
        <v>2591</v>
      </c>
      <c r="AE20" s="98">
        <v>2611</v>
      </c>
      <c r="AF20" s="98">
        <v>2628</v>
      </c>
      <c r="AG20" s="98">
        <v>2655</v>
      </c>
      <c r="AH20" s="98">
        <v>2691</v>
      </c>
      <c r="AI20" s="98">
        <v>2723</v>
      </c>
      <c r="AJ20" s="98">
        <v>2737</v>
      </c>
      <c r="AK20" s="98">
        <v>2738</v>
      </c>
      <c r="AL20" s="98">
        <v>2695</v>
      </c>
      <c r="AM20" s="98">
        <v>2662</v>
      </c>
      <c r="AN20" s="98">
        <v>2600</v>
      </c>
      <c r="AO20" s="98">
        <v>2554</v>
      </c>
      <c r="AP20" s="98">
        <v>2510</v>
      </c>
      <c r="AQ20" s="98">
        <v>2484</v>
      </c>
      <c r="AR20" s="98">
        <v>2443</v>
      </c>
      <c r="AS20" s="98">
        <v>2366</v>
      </c>
      <c r="AT20" s="98">
        <v>2260</v>
      </c>
      <c r="AU20" s="98">
        <v>2156</v>
      </c>
      <c r="AV20" s="98">
        <v>2103</v>
      </c>
      <c r="AW20" s="98">
        <v>2081</v>
      </c>
      <c r="AX20" s="98">
        <v>2207</v>
      </c>
      <c r="AY20" s="99">
        <v>2202</v>
      </c>
    </row>
    <row r="21" spans="2:51" x14ac:dyDescent="0.25">
      <c r="B21" s="189" t="s">
        <v>71</v>
      </c>
      <c r="C21" s="89" t="s">
        <v>0</v>
      </c>
      <c r="D21" s="100">
        <v>24.26</v>
      </c>
      <c r="E21" s="101">
        <v>22.92</v>
      </c>
      <c r="F21" s="101">
        <v>22.64</v>
      </c>
      <c r="G21" s="101">
        <v>21.47</v>
      </c>
      <c r="H21" s="101">
        <v>19.559999999999999</v>
      </c>
      <c r="I21" s="101">
        <v>18.95</v>
      </c>
      <c r="J21" s="101">
        <v>18.7</v>
      </c>
      <c r="K21" s="101">
        <v>18.829999999999998</v>
      </c>
      <c r="L21" s="101">
        <v>20.149999999999999</v>
      </c>
      <c r="M21" s="101">
        <v>21.05</v>
      </c>
      <c r="N21" s="101">
        <v>23.73</v>
      </c>
      <c r="O21" s="101">
        <v>24.65</v>
      </c>
      <c r="P21" s="101">
        <v>26.78</v>
      </c>
      <c r="Q21" s="101">
        <v>30.21</v>
      </c>
      <c r="R21" s="101">
        <v>27</v>
      </c>
      <c r="S21" s="101">
        <v>28.46</v>
      </c>
      <c r="T21" s="101">
        <v>30.86</v>
      </c>
      <c r="U21" s="101">
        <v>31.47</v>
      </c>
      <c r="V21" s="101">
        <v>33.020000000000003</v>
      </c>
      <c r="W21" s="101">
        <v>34.01</v>
      </c>
      <c r="X21" s="101">
        <v>36.99</v>
      </c>
      <c r="Y21" s="101">
        <v>39.11</v>
      </c>
      <c r="Z21" s="101">
        <v>39.39</v>
      </c>
      <c r="AA21" s="101">
        <v>43.82</v>
      </c>
      <c r="AB21" s="101">
        <v>44.68</v>
      </c>
      <c r="AC21" s="101">
        <v>51.03</v>
      </c>
      <c r="AD21" s="101">
        <v>66.88</v>
      </c>
      <c r="AE21" s="101">
        <v>75.56</v>
      </c>
      <c r="AF21" s="101">
        <v>79.17</v>
      </c>
      <c r="AG21" s="101">
        <v>81.81</v>
      </c>
      <c r="AH21" s="101">
        <v>80.37</v>
      </c>
      <c r="AI21" s="101">
        <v>95</v>
      </c>
      <c r="AJ21" s="101">
        <v>66.239999999999995</v>
      </c>
      <c r="AK21" s="101">
        <v>48.75</v>
      </c>
      <c r="AL21" s="101">
        <v>36.07</v>
      </c>
      <c r="AM21" s="101">
        <v>34.5</v>
      </c>
      <c r="AN21" s="101">
        <v>32.020000000000003</v>
      </c>
      <c r="AO21" s="101">
        <v>32.47</v>
      </c>
      <c r="AP21" s="101">
        <v>32.56</v>
      </c>
      <c r="AQ21" s="101">
        <v>31.82</v>
      </c>
      <c r="AR21" s="101">
        <v>29.53</v>
      </c>
      <c r="AS21" s="101">
        <v>27.05</v>
      </c>
      <c r="AT21" s="101">
        <v>27.28</v>
      </c>
      <c r="AU21" s="101">
        <v>24.64</v>
      </c>
      <c r="AV21" s="101">
        <v>28.26</v>
      </c>
      <c r="AW21" s="101">
        <v>26.38</v>
      </c>
      <c r="AX21" s="101">
        <v>27.52</v>
      </c>
      <c r="AY21" s="102">
        <v>25.78</v>
      </c>
    </row>
    <row r="22" spans="2:51" x14ac:dyDescent="0.25">
      <c r="B22" s="190" t="s">
        <v>71</v>
      </c>
      <c r="C22" s="76" t="s">
        <v>1</v>
      </c>
      <c r="D22" s="103">
        <v>24.37</v>
      </c>
      <c r="E22" s="104">
        <v>22.32</v>
      </c>
      <c r="F22" s="104">
        <v>20.74</v>
      </c>
      <c r="G22" s="104">
        <v>20.149999999999999</v>
      </c>
      <c r="H22" s="104">
        <v>18.54</v>
      </c>
      <c r="I22" s="104">
        <v>18.03</v>
      </c>
      <c r="J22" s="104">
        <v>17.87</v>
      </c>
      <c r="K22" s="104">
        <v>17.940000000000001</v>
      </c>
      <c r="L22" s="104">
        <v>19.04</v>
      </c>
      <c r="M22" s="104">
        <v>20.46</v>
      </c>
      <c r="N22" s="104">
        <v>21.68</v>
      </c>
      <c r="O22" s="104">
        <v>22.51</v>
      </c>
      <c r="P22" s="104">
        <v>27.4</v>
      </c>
      <c r="Q22" s="104">
        <v>31.21</v>
      </c>
      <c r="R22" s="104">
        <v>29.51</v>
      </c>
      <c r="S22" s="104">
        <v>31.61</v>
      </c>
      <c r="T22" s="104">
        <v>39.57</v>
      </c>
      <c r="U22" s="104">
        <v>40.78</v>
      </c>
      <c r="V22" s="104">
        <v>43.99</v>
      </c>
      <c r="W22" s="104">
        <v>46.58</v>
      </c>
      <c r="X22" s="104">
        <v>40.89</v>
      </c>
      <c r="Y22" s="104">
        <v>48.46</v>
      </c>
      <c r="Z22" s="104">
        <v>47.82</v>
      </c>
      <c r="AA22" s="104">
        <v>55.52</v>
      </c>
      <c r="AB22" s="104">
        <v>62.18</v>
      </c>
      <c r="AC22" s="104">
        <v>69.42</v>
      </c>
      <c r="AD22" s="104">
        <v>71.45</v>
      </c>
      <c r="AE22" s="104">
        <v>91.66</v>
      </c>
      <c r="AF22" s="104">
        <v>105.36</v>
      </c>
      <c r="AG22" s="104">
        <v>95.69</v>
      </c>
      <c r="AH22" s="104">
        <v>109.8</v>
      </c>
      <c r="AI22" s="104">
        <v>112.47</v>
      </c>
      <c r="AJ22" s="104">
        <v>103.74</v>
      </c>
      <c r="AK22" s="104">
        <v>83.36</v>
      </c>
      <c r="AL22" s="104">
        <v>60.24</v>
      </c>
      <c r="AM22" s="104">
        <v>45.11</v>
      </c>
      <c r="AN22" s="104">
        <v>43.81</v>
      </c>
      <c r="AO22" s="104">
        <v>58.41</v>
      </c>
      <c r="AP22" s="104">
        <v>48.64</v>
      </c>
      <c r="AQ22" s="104">
        <v>46.08</v>
      </c>
      <c r="AR22" s="104">
        <v>38.130000000000003</v>
      </c>
      <c r="AS22" s="104">
        <v>31.35</v>
      </c>
      <c r="AT22" s="104">
        <v>30.01</v>
      </c>
      <c r="AU22" s="104">
        <v>25.17</v>
      </c>
      <c r="AV22" s="104">
        <v>33.090000000000003</v>
      </c>
      <c r="AW22" s="104">
        <v>34.49</v>
      </c>
      <c r="AX22" s="104">
        <v>29.58</v>
      </c>
      <c r="AY22" s="105">
        <v>25.91</v>
      </c>
    </row>
    <row r="23" spans="2:51" x14ac:dyDescent="0.25">
      <c r="B23" s="190" t="s">
        <v>71</v>
      </c>
      <c r="C23" s="76" t="s">
        <v>2</v>
      </c>
      <c r="D23" s="103">
        <v>26.88</v>
      </c>
      <c r="E23" s="104">
        <v>26.84</v>
      </c>
      <c r="F23" s="104">
        <v>25.4</v>
      </c>
      <c r="G23" s="104">
        <v>21.67</v>
      </c>
      <c r="H23" s="104">
        <v>18.95</v>
      </c>
      <c r="I23" s="104">
        <v>18.059999999999999</v>
      </c>
      <c r="J23" s="104">
        <v>16.600000000000001</v>
      </c>
      <c r="K23" s="104">
        <v>15.9</v>
      </c>
      <c r="L23" s="104">
        <v>17.46</v>
      </c>
      <c r="M23" s="104">
        <v>19.09</v>
      </c>
      <c r="N23" s="104">
        <v>21.88</v>
      </c>
      <c r="O23" s="104">
        <v>24.07</v>
      </c>
      <c r="P23" s="104">
        <v>27.71</v>
      </c>
      <c r="Q23" s="104">
        <v>33.82</v>
      </c>
      <c r="R23" s="104">
        <v>33.630000000000003</v>
      </c>
      <c r="S23" s="104">
        <v>31.64</v>
      </c>
      <c r="T23" s="104">
        <v>36.380000000000003</v>
      </c>
      <c r="U23" s="104">
        <v>38.58</v>
      </c>
      <c r="V23" s="104">
        <v>38.020000000000003</v>
      </c>
      <c r="W23" s="104">
        <v>42.03</v>
      </c>
      <c r="X23" s="104">
        <v>43.24</v>
      </c>
      <c r="Y23" s="104">
        <v>42.47</v>
      </c>
      <c r="Z23" s="104">
        <v>45</v>
      </c>
      <c r="AA23" s="104">
        <v>46.87</v>
      </c>
      <c r="AB23" s="104">
        <v>53.58</v>
      </c>
      <c r="AC23" s="104">
        <v>58.59</v>
      </c>
      <c r="AD23" s="104">
        <v>72.06</v>
      </c>
      <c r="AE23" s="104">
        <v>89.52</v>
      </c>
      <c r="AF23" s="104">
        <v>91.4</v>
      </c>
      <c r="AG23" s="104">
        <v>104.55</v>
      </c>
      <c r="AH23" s="104">
        <v>117.68</v>
      </c>
      <c r="AI23" s="104">
        <v>134.66</v>
      </c>
      <c r="AJ23" s="104">
        <v>103.21</v>
      </c>
      <c r="AK23" s="104">
        <v>86.59</v>
      </c>
      <c r="AL23" s="104">
        <v>72.91</v>
      </c>
      <c r="AM23" s="104">
        <v>54.2</v>
      </c>
      <c r="AN23" s="104">
        <v>46.42</v>
      </c>
      <c r="AO23" s="104">
        <v>41.15</v>
      </c>
      <c r="AP23" s="104">
        <v>39.229999999999997</v>
      </c>
      <c r="AQ23" s="104">
        <v>37.53</v>
      </c>
      <c r="AR23" s="104">
        <v>36.71</v>
      </c>
      <c r="AS23" s="104">
        <v>35.67</v>
      </c>
      <c r="AT23" s="104">
        <v>33.39</v>
      </c>
      <c r="AU23" s="104">
        <v>27.63</v>
      </c>
      <c r="AV23" s="104">
        <v>30.3</v>
      </c>
      <c r="AW23" s="104">
        <v>27.86</v>
      </c>
      <c r="AX23" s="104">
        <v>28.26</v>
      </c>
      <c r="AY23" s="105">
        <v>35.4</v>
      </c>
    </row>
    <row r="24" spans="2:51" x14ac:dyDescent="0.25">
      <c r="B24" s="190" t="s">
        <v>71</v>
      </c>
      <c r="C24" s="76" t="s">
        <v>3</v>
      </c>
      <c r="D24" s="103">
        <v>40.869999999999997</v>
      </c>
      <c r="E24" s="104">
        <v>38.92</v>
      </c>
      <c r="F24" s="104">
        <v>37.86</v>
      </c>
      <c r="G24" s="104">
        <v>36.6</v>
      </c>
      <c r="H24" s="104">
        <v>34.46</v>
      </c>
      <c r="I24" s="104">
        <v>34.44</v>
      </c>
      <c r="J24" s="104">
        <v>33.61</v>
      </c>
      <c r="K24" s="104">
        <v>36.29</v>
      </c>
      <c r="L24" s="104">
        <v>34.4</v>
      </c>
      <c r="M24" s="104">
        <v>35.659999999999997</v>
      </c>
      <c r="N24" s="104">
        <v>38.04</v>
      </c>
      <c r="O24" s="104">
        <v>43.02</v>
      </c>
      <c r="P24" s="104">
        <v>41.29</v>
      </c>
      <c r="Q24" s="104">
        <v>44.4</v>
      </c>
      <c r="R24" s="104">
        <v>41.83</v>
      </c>
      <c r="S24" s="104">
        <v>41.54</v>
      </c>
      <c r="T24" s="104">
        <v>45.34</v>
      </c>
      <c r="U24" s="104">
        <v>43.42</v>
      </c>
      <c r="V24" s="104">
        <v>52.37</v>
      </c>
      <c r="W24" s="104">
        <v>50.79</v>
      </c>
      <c r="X24" s="104">
        <v>52.55</v>
      </c>
      <c r="Y24" s="104">
        <v>52.67</v>
      </c>
      <c r="Z24" s="104">
        <v>49.76</v>
      </c>
      <c r="AA24" s="104">
        <v>45.8</v>
      </c>
      <c r="AB24" s="104">
        <v>45.07</v>
      </c>
      <c r="AC24" s="104">
        <v>38.97</v>
      </c>
      <c r="AD24" s="104">
        <v>40.35</v>
      </c>
      <c r="AE24" s="104">
        <v>40.39</v>
      </c>
      <c r="AF24" s="104">
        <v>39.659999999999997</v>
      </c>
      <c r="AG24" s="104">
        <v>40.17</v>
      </c>
      <c r="AH24" s="104">
        <v>42.13</v>
      </c>
      <c r="AI24" s="104">
        <v>40.17</v>
      </c>
      <c r="AJ24" s="104">
        <v>44.61</v>
      </c>
      <c r="AK24" s="104">
        <v>44.53</v>
      </c>
      <c r="AL24" s="104">
        <v>43.07</v>
      </c>
      <c r="AM24" s="104">
        <v>46.3</v>
      </c>
      <c r="AN24" s="104">
        <v>46.48</v>
      </c>
      <c r="AO24" s="104">
        <v>47.42</v>
      </c>
      <c r="AP24" s="104">
        <v>43.96</v>
      </c>
      <c r="AQ24" s="104">
        <v>43.22</v>
      </c>
      <c r="AR24" s="104">
        <v>43.1</v>
      </c>
      <c r="AS24" s="104">
        <v>40.299999999999997</v>
      </c>
      <c r="AT24" s="104">
        <v>41.82</v>
      </c>
      <c r="AU24" s="104">
        <v>38.700000000000003</v>
      </c>
      <c r="AV24" s="104">
        <v>43.34</v>
      </c>
      <c r="AW24" s="104">
        <v>43.05</v>
      </c>
      <c r="AX24" s="104">
        <v>42.26</v>
      </c>
      <c r="AY24" s="105">
        <v>40.6</v>
      </c>
    </row>
    <row r="25" spans="2:51" ht="15.75" thickBot="1" x14ac:dyDescent="0.3">
      <c r="B25" s="191" t="s">
        <v>71</v>
      </c>
      <c r="C25" s="90" t="s">
        <v>4</v>
      </c>
      <c r="D25" s="106">
        <v>21.69</v>
      </c>
      <c r="E25" s="107">
        <v>20.23</v>
      </c>
      <c r="F25" s="107">
        <v>21.71</v>
      </c>
      <c r="G25" s="107">
        <v>18.64</v>
      </c>
      <c r="H25" s="107">
        <v>16.57</v>
      </c>
      <c r="I25" s="107">
        <v>15.98</v>
      </c>
      <c r="J25" s="107">
        <v>15.26</v>
      </c>
      <c r="K25" s="107">
        <v>15.32</v>
      </c>
      <c r="L25" s="107">
        <v>16.39</v>
      </c>
      <c r="M25" s="107">
        <v>17.559999999999999</v>
      </c>
      <c r="N25" s="107">
        <v>20.010000000000002</v>
      </c>
      <c r="O25" s="107">
        <v>22.26</v>
      </c>
      <c r="P25" s="107">
        <v>26.15</v>
      </c>
      <c r="Q25" s="107">
        <v>30.34</v>
      </c>
      <c r="R25" s="107">
        <v>25.92</v>
      </c>
      <c r="S25" s="107">
        <v>28.64</v>
      </c>
      <c r="T25" s="107">
        <v>32</v>
      </c>
      <c r="U25" s="107">
        <v>32.65</v>
      </c>
      <c r="V25" s="107">
        <v>33.17</v>
      </c>
      <c r="W25" s="107">
        <v>35.85</v>
      </c>
      <c r="X25" s="107">
        <v>36.049999999999997</v>
      </c>
      <c r="Y25" s="107">
        <v>39.5</v>
      </c>
      <c r="Z25" s="107">
        <v>39.950000000000003</v>
      </c>
      <c r="AA25" s="107">
        <v>41.74</v>
      </c>
      <c r="AB25" s="107">
        <v>42.07</v>
      </c>
      <c r="AC25" s="107">
        <v>46.08</v>
      </c>
      <c r="AD25" s="107">
        <v>51.67</v>
      </c>
      <c r="AE25" s="107">
        <v>55.1</v>
      </c>
      <c r="AF25" s="107">
        <v>60.18</v>
      </c>
      <c r="AG25" s="107">
        <v>68.510000000000005</v>
      </c>
      <c r="AH25" s="107">
        <v>78.97</v>
      </c>
      <c r="AI25" s="107">
        <v>87.2</v>
      </c>
      <c r="AJ25" s="107">
        <v>67.489999999999995</v>
      </c>
      <c r="AK25" s="107">
        <v>50.18</v>
      </c>
      <c r="AL25" s="107">
        <v>41.35</v>
      </c>
      <c r="AM25" s="107">
        <v>34.729999999999997</v>
      </c>
      <c r="AN25" s="107">
        <v>35.049999999999997</v>
      </c>
      <c r="AO25" s="107">
        <v>31.78</v>
      </c>
      <c r="AP25" s="107">
        <v>30.5</v>
      </c>
      <c r="AQ25" s="107">
        <v>30.29</v>
      </c>
      <c r="AR25" s="107">
        <v>29.18</v>
      </c>
      <c r="AS25" s="107">
        <v>26.6</v>
      </c>
      <c r="AT25" s="107">
        <v>25.81</v>
      </c>
      <c r="AU25" s="107">
        <v>22.52</v>
      </c>
      <c r="AV25" s="107">
        <v>24.74</v>
      </c>
      <c r="AW25" s="107">
        <v>22.9</v>
      </c>
      <c r="AX25" s="107">
        <v>26.1</v>
      </c>
      <c r="AY25" s="108">
        <v>24.69</v>
      </c>
    </row>
    <row r="26" spans="2:51" ht="15" customHeight="1" x14ac:dyDescent="0.25">
      <c r="B26" s="189" t="s">
        <v>89</v>
      </c>
      <c r="C26" s="89" t="s">
        <v>0</v>
      </c>
      <c r="D26" s="100">
        <v>24.25</v>
      </c>
      <c r="E26" s="101">
        <v>22.92</v>
      </c>
      <c r="F26" s="101">
        <v>22.64</v>
      </c>
      <c r="G26" s="101">
        <v>20.76</v>
      </c>
      <c r="H26" s="101">
        <v>19.559999999999999</v>
      </c>
      <c r="I26" s="101">
        <v>18.95</v>
      </c>
      <c r="J26" s="101">
        <v>18.7</v>
      </c>
      <c r="K26" s="101">
        <v>18.829999999999998</v>
      </c>
      <c r="L26" s="101">
        <v>20.149999999999999</v>
      </c>
      <c r="M26" s="101">
        <v>21.05</v>
      </c>
      <c r="N26" s="101">
        <v>23.71</v>
      </c>
      <c r="O26" s="101">
        <v>24.65</v>
      </c>
      <c r="P26" s="101">
        <v>26.58</v>
      </c>
      <c r="Q26" s="101">
        <v>29.45</v>
      </c>
      <c r="R26" s="101">
        <v>27</v>
      </c>
      <c r="S26" s="101">
        <v>28.45</v>
      </c>
      <c r="T26" s="101">
        <v>30.89</v>
      </c>
      <c r="U26" s="101">
        <v>31.63</v>
      </c>
      <c r="V26" s="101">
        <v>32.83</v>
      </c>
      <c r="W26" s="101">
        <v>33.31</v>
      </c>
      <c r="X26" s="101">
        <v>33.68</v>
      </c>
      <c r="Y26" s="101">
        <v>35.01</v>
      </c>
      <c r="Z26" s="101">
        <v>35.28</v>
      </c>
      <c r="AA26" s="101">
        <v>35.979999999999997</v>
      </c>
      <c r="AB26" s="101">
        <v>36.92</v>
      </c>
      <c r="AC26" s="101">
        <v>37.85</v>
      </c>
      <c r="AD26" s="101">
        <v>38.69</v>
      </c>
      <c r="AE26" s="101">
        <v>38.9</v>
      </c>
      <c r="AF26" s="101">
        <v>38.53</v>
      </c>
      <c r="AG26" s="101">
        <v>38.880000000000003</v>
      </c>
      <c r="AH26" s="101">
        <v>39.21</v>
      </c>
      <c r="AI26" s="101">
        <v>39.64</v>
      </c>
      <c r="AJ26" s="101">
        <v>38.020000000000003</v>
      </c>
      <c r="AK26" s="101">
        <v>37.04</v>
      </c>
      <c r="AL26" s="101">
        <v>33.51</v>
      </c>
      <c r="AM26" s="101">
        <v>31.96</v>
      </c>
      <c r="AN26" s="101">
        <v>30.47</v>
      </c>
      <c r="AO26" s="101">
        <v>31.54</v>
      </c>
      <c r="AP26" s="101">
        <v>31.88</v>
      </c>
      <c r="AQ26" s="101">
        <v>31.18</v>
      </c>
      <c r="AR26" s="101">
        <v>29.32</v>
      </c>
      <c r="AS26" s="101">
        <v>26.99</v>
      </c>
      <c r="AT26" s="101">
        <v>27.15</v>
      </c>
      <c r="AU26" s="101">
        <v>24.64</v>
      </c>
      <c r="AV26" s="101">
        <v>28.03</v>
      </c>
      <c r="AW26" s="101">
        <v>26.26</v>
      </c>
      <c r="AX26" s="101">
        <v>27.38</v>
      </c>
      <c r="AY26" s="102">
        <v>25.77</v>
      </c>
    </row>
    <row r="27" spans="2:51" ht="15" customHeight="1" x14ac:dyDescent="0.25">
      <c r="B27" s="190" t="s">
        <v>89</v>
      </c>
      <c r="C27" s="76" t="s">
        <v>1</v>
      </c>
      <c r="D27" s="103">
        <v>23.72</v>
      </c>
      <c r="E27" s="104">
        <v>22.14</v>
      </c>
      <c r="F27" s="104">
        <v>20.74</v>
      </c>
      <c r="G27" s="104">
        <v>19.43</v>
      </c>
      <c r="H27" s="104">
        <v>18.43</v>
      </c>
      <c r="I27" s="104">
        <v>17.97</v>
      </c>
      <c r="J27" s="104">
        <v>17.87</v>
      </c>
      <c r="K27" s="104">
        <v>17.940000000000001</v>
      </c>
      <c r="L27" s="104">
        <v>18.88</v>
      </c>
      <c r="M27" s="104">
        <v>19.73</v>
      </c>
      <c r="N27" s="104">
        <v>21.41</v>
      </c>
      <c r="O27" s="104">
        <v>22.43</v>
      </c>
      <c r="P27" s="104">
        <v>25.58</v>
      </c>
      <c r="Q27" s="104">
        <v>28.29</v>
      </c>
      <c r="R27" s="104">
        <v>27.3</v>
      </c>
      <c r="S27" s="104">
        <v>29.51</v>
      </c>
      <c r="T27" s="104">
        <v>32.56</v>
      </c>
      <c r="U27" s="104">
        <v>33.96</v>
      </c>
      <c r="V27" s="104">
        <v>35.15</v>
      </c>
      <c r="W27" s="104">
        <v>35.450000000000003</v>
      </c>
      <c r="X27" s="104">
        <v>34.82</v>
      </c>
      <c r="Y27" s="104">
        <v>36.76</v>
      </c>
      <c r="Z27" s="104">
        <v>37.4</v>
      </c>
      <c r="AA27" s="104">
        <v>38.799999999999997</v>
      </c>
      <c r="AB27" s="104">
        <v>39.58</v>
      </c>
      <c r="AC27" s="104">
        <v>41.43</v>
      </c>
      <c r="AD27" s="104">
        <v>42.42</v>
      </c>
      <c r="AE27" s="104">
        <v>42.94</v>
      </c>
      <c r="AF27" s="104">
        <v>43.4</v>
      </c>
      <c r="AG27" s="104">
        <v>42.42</v>
      </c>
      <c r="AH27" s="104">
        <v>43.58</v>
      </c>
      <c r="AI27" s="104">
        <v>44.47</v>
      </c>
      <c r="AJ27" s="104">
        <v>43.12</v>
      </c>
      <c r="AK27" s="104">
        <v>43.29</v>
      </c>
      <c r="AL27" s="104">
        <v>38.72</v>
      </c>
      <c r="AM27" s="104">
        <v>35.4</v>
      </c>
      <c r="AN27" s="104">
        <v>33.36</v>
      </c>
      <c r="AO27" s="104">
        <v>37.090000000000003</v>
      </c>
      <c r="AP27" s="104">
        <v>37</v>
      </c>
      <c r="AQ27" s="104">
        <v>34.76</v>
      </c>
      <c r="AR27" s="104">
        <v>31.51</v>
      </c>
      <c r="AS27" s="104">
        <v>28.48</v>
      </c>
      <c r="AT27" s="104">
        <v>28.29</v>
      </c>
      <c r="AU27" s="104">
        <v>24.98</v>
      </c>
      <c r="AV27" s="104">
        <v>29.78</v>
      </c>
      <c r="AW27" s="104">
        <v>28.96</v>
      </c>
      <c r="AX27" s="104">
        <v>28.62</v>
      </c>
      <c r="AY27" s="105">
        <v>25.67</v>
      </c>
    </row>
    <row r="28" spans="2:51" ht="15" customHeight="1" x14ac:dyDescent="0.25">
      <c r="B28" s="190" t="s">
        <v>89</v>
      </c>
      <c r="C28" s="76" t="s">
        <v>2</v>
      </c>
      <c r="D28" s="103">
        <v>26.4</v>
      </c>
      <c r="E28" s="104">
        <v>24.83</v>
      </c>
      <c r="F28" s="104">
        <v>23.87</v>
      </c>
      <c r="G28" s="104">
        <v>20.77</v>
      </c>
      <c r="H28" s="104">
        <v>18.18</v>
      </c>
      <c r="I28" s="104">
        <v>17.420000000000002</v>
      </c>
      <c r="J28" s="104">
        <v>16.07</v>
      </c>
      <c r="K28" s="104">
        <v>15.89</v>
      </c>
      <c r="L28" s="104">
        <v>17.43</v>
      </c>
      <c r="M28" s="104">
        <v>19.04</v>
      </c>
      <c r="N28" s="104">
        <v>21.85</v>
      </c>
      <c r="O28" s="104">
        <v>24.02</v>
      </c>
      <c r="P28" s="104">
        <v>27.11</v>
      </c>
      <c r="Q28" s="104">
        <v>31.52</v>
      </c>
      <c r="R28" s="104">
        <v>29.17</v>
      </c>
      <c r="S28" s="104">
        <v>30.43</v>
      </c>
      <c r="T28" s="104">
        <v>33.32</v>
      </c>
      <c r="U28" s="104">
        <v>34.380000000000003</v>
      </c>
      <c r="V28" s="104">
        <v>35.340000000000003</v>
      </c>
      <c r="W28" s="104">
        <v>35.94</v>
      </c>
      <c r="X28" s="104">
        <v>36.78</v>
      </c>
      <c r="Y28" s="104">
        <v>37.880000000000003</v>
      </c>
      <c r="Z28" s="104">
        <v>38.68</v>
      </c>
      <c r="AA28" s="104">
        <v>38.72</v>
      </c>
      <c r="AB28" s="104">
        <v>40</v>
      </c>
      <c r="AC28" s="104">
        <v>40.74</v>
      </c>
      <c r="AD28" s="104">
        <v>41.53</v>
      </c>
      <c r="AE28" s="104">
        <v>42.03</v>
      </c>
      <c r="AF28" s="104">
        <v>41.75</v>
      </c>
      <c r="AG28" s="104">
        <v>41.78</v>
      </c>
      <c r="AH28" s="104">
        <v>42.64</v>
      </c>
      <c r="AI28" s="104">
        <v>43.29</v>
      </c>
      <c r="AJ28" s="104">
        <v>42.32</v>
      </c>
      <c r="AK28" s="104">
        <v>41.3</v>
      </c>
      <c r="AL28" s="104">
        <v>39.15</v>
      </c>
      <c r="AM28" s="104">
        <v>37.380000000000003</v>
      </c>
      <c r="AN28" s="104">
        <v>35.770000000000003</v>
      </c>
      <c r="AO28" s="104">
        <v>35.64</v>
      </c>
      <c r="AP28" s="104">
        <v>35.020000000000003</v>
      </c>
      <c r="AQ28" s="104">
        <v>34.590000000000003</v>
      </c>
      <c r="AR28" s="104">
        <v>33.57</v>
      </c>
      <c r="AS28" s="104">
        <v>31.28</v>
      </c>
      <c r="AT28" s="104">
        <v>30.12</v>
      </c>
      <c r="AU28" s="104">
        <v>26.67</v>
      </c>
      <c r="AV28" s="104">
        <v>28.09</v>
      </c>
      <c r="AW28" s="104">
        <v>26.29</v>
      </c>
      <c r="AX28" s="104">
        <v>28.07</v>
      </c>
      <c r="AY28" s="105">
        <v>30.25</v>
      </c>
    </row>
    <row r="29" spans="2:51" ht="15" customHeight="1" x14ac:dyDescent="0.25">
      <c r="B29" s="190" t="s">
        <v>89</v>
      </c>
      <c r="C29" s="76" t="s">
        <v>3</v>
      </c>
      <c r="D29" s="103">
        <v>38.14</v>
      </c>
      <c r="E29" s="104">
        <v>36.67</v>
      </c>
      <c r="F29" s="104">
        <v>37.61</v>
      </c>
      <c r="G29" s="104">
        <v>36.43</v>
      </c>
      <c r="H29" s="104">
        <v>34.770000000000003</v>
      </c>
      <c r="I29" s="104">
        <v>34.24</v>
      </c>
      <c r="J29" s="104">
        <v>33.520000000000003</v>
      </c>
      <c r="K29" s="104">
        <v>33.869999999999997</v>
      </c>
      <c r="L29" s="104">
        <v>34.17</v>
      </c>
      <c r="M29" s="104">
        <v>35.44</v>
      </c>
      <c r="N29" s="104">
        <v>37.75</v>
      </c>
      <c r="O29" s="104">
        <v>39.26</v>
      </c>
      <c r="P29" s="104">
        <v>40.33</v>
      </c>
      <c r="Q29" s="104">
        <v>43.26</v>
      </c>
      <c r="R29" s="104">
        <v>40.89</v>
      </c>
      <c r="S29" s="104">
        <v>40.93</v>
      </c>
      <c r="T29" s="104">
        <v>43.01</v>
      </c>
      <c r="U29" s="104">
        <v>41.89</v>
      </c>
      <c r="V29" s="104">
        <v>43.71</v>
      </c>
      <c r="W29" s="104">
        <v>44.17</v>
      </c>
      <c r="X29" s="104">
        <v>44.35</v>
      </c>
      <c r="Y29" s="104">
        <v>44.86</v>
      </c>
      <c r="Z29" s="104">
        <v>44.85</v>
      </c>
      <c r="AA29" s="104">
        <v>43.44</v>
      </c>
      <c r="AB29" s="104">
        <v>40.98</v>
      </c>
      <c r="AC29" s="104">
        <v>38.31</v>
      </c>
      <c r="AD29" s="104">
        <v>39.61</v>
      </c>
      <c r="AE29" s="104">
        <v>39.049999999999997</v>
      </c>
      <c r="AF29" s="104">
        <v>37.47</v>
      </c>
      <c r="AG29" s="104">
        <v>37.57</v>
      </c>
      <c r="AH29" s="104">
        <v>38.5</v>
      </c>
      <c r="AI29" s="104">
        <v>38.31</v>
      </c>
      <c r="AJ29" s="104">
        <v>39.619999999999997</v>
      </c>
      <c r="AK29" s="104">
        <v>40.28</v>
      </c>
      <c r="AL29" s="104">
        <v>39.299999999999997</v>
      </c>
      <c r="AM29" s="104">
        <v>39.82</v>
      </c>
      <c r="AN29" s="104">
        <v>40.21</v>
      </c>
      <c r="AO29" s="104">
        <v>40.96</v>
      </c>
      <c r="AP29" s="104">
        <v>41.15</v>
      </c>
      <c r="AQ29" s="104">
        <v>42.59</v>
      </c>
      <c r="AR29" s="104">
        <v>42.36</v>
      </c>
      <c r="AS29" s="104">
        <v>40.299999999999997</v>
      </c>
      <c r="AT29" s="104">
        <v>40.76</v>
      </c>
      <c r="AU29" s="104">
        <v>39.07</v>
      </c>
      <c r="AV29" s="104">
        <v>40.56</v>
      </c>
      <c r="AW29" s="104">
        <v>39.49</v>
      </c>
      <c r="AX29" s="104">
        <v>40.29</v>
      </c>
      <c r="AY29" s="105">
        <v>40.4</v>
      </c>
    </row>
    <row r="30" spans="2:51" ht="15.75" customHeight="1" thickBot="1" x14ac:dyDescent="0.3">
      <c r="B30" s="191" t="s">
        <v>89</v>
      </c>
      <c r="C30" s="90" t="s">
        <v>4</v>
      </c>
      <c r="D30" s="106">
        <v>21.54</v>
      </c>
      <c r="E30" s="107">
        <v>20.02</v>
      </c>
      <c r="F30" s="107">
        <v>21.19</v>
      </c>
      <c r="G30" s="107">
        <v>18.61</v>
      </c>
      <c r="H30" s="107">
        <v>16.559999999999999</v>
      </c>
      <c r="I30" s="107">
        <v>15.98</v>
      </c>
      <c r="J30" s="107">
        <v>15.26</v>
      </c>
      <c r="K30" s="107">
        <v>15.32</v>
      </c>
      <c r="L30" s="107">
        <v>16.39</v>
      </c>
      <c r="M30" s="107">
        <v>17.559999999999999</v>
      </c>
      <c r="N30" s="107">
        <v>19.98</v>
      </c>
      <c r="O30" s="107">
        <v>22.26</v>
      </c>
      <c r="P30" s="107">
        <v>25.59</v>
      </c>
      <c r="Q30" s="107">
        <v>29.45</v>
      </c>
      <c r="R30" s="107">
        <v>25.9</v>
      </c>
      <c r="S30" s="107">
        <v>27.43</v>
      </c>
      <c r="T30" s="107">
        <v>29.98</v>
      </c>
      <c r="U30" s="107">
        <v>30.69</v>
      </c>
      <c r="V30" s="107">
        <v>31.8</v>
      </c>
      <c r="W30" s="107">
        <v>32.36</v>
      </c>
      <c r="X30" s="107">
        <v>32.74</v>
      </c>
      <c r="Y30" s="107">
        <v>34.33</v>
      </c>
      <c r="Z30" s="107">
        <v>34.369999999999997</v>
      </c>
      <c r="AA30" s="107">
        <v>34.82</v>
      </c>
      <c r="AB30" s="107">
        <v>35.58</v>
      </c>
      <c r="AC30" s="107">
        <v>36.119999999999997</v>
      </c>
      <c r="AD30" s="107">
        <v>36.85</v>
      </c>
      <c r="AE30" s="107">
        <v>37.18</v>
      </c>
      <c r="AF30" s="107">
        <v>37.11</v>
      </c>
      <c r="AG30" s="107">
        <v>37.39</v>
      </c>
      <c r="AH30" s="107">
        <v>38</v>
      </c>
      <c r="AI30" s="107">
        <v>38.840000000000003</v>
      </c>
      <c r="AJ30" s="107">
        <v>37.380000000000003</v>
      </c>
      <c r="AK30" s="107">
        <v>36.15</v>
      </c>
      <c r="AL30" s="107">
        <v>32.11</v>
      </c>
      <c r="AM30" s="107">
        <v>30.89</v>
      </c>
      <c r="AN30" s="107">
        <v>29.11</v>
      </c>
      <c r="AO30" s="107">
        <v>29.74</v>
      </c>
      <c r="AP30" s="107">
        <v>29.91</v>
      </c>
      <c r="AQ30" s="107">
        <v>29.78</v>
      </c>
      <c r="AR30" s="107">
        <v>28.7</v>
      </c>
      <c r="AS30" s="107">
        <v>26.19</v>
      </c>
      <c r="AT30" s="107">
        <v>25.46</v>
      </c>
      <c r="AU30" s="107">
        <v>22.3</v>
      </c>
      <c r="AV30" s="107">
        <v>24.41</v>
      </c>
      <c r="AW30" s="107">
        <v>22.79</v>
      </c>
      <c r="AX30" s="107">
        <v>25.89</v>
      </c>
      <c r="AY30" s="108">
        <v>24.48</v>
      </c>
    </row>
    <row r="31" spans="2:51" ht="15" customHeight="1" x14ac:dyDescent="0.25">
      <c r="B31" s="189" t="s">
        <v>90</v>
      </c>
      <c r="C31" s="89" t="s">
        <v>0</v>
      </c>
      <c r="D31" s="100">
        <v>24.26</v>
      </c>
      <c r="E31" s="101">
        <v>22.92</v>
      </c>
      <c r="F31" s="101">
        <v>22.64</v>
      </c>
      <c r="G31" s="101">
        <v>20.81</v>
      </c>
      <c r="H31" s="101">
        <v>19.559999999999999</v>
      </c>
      <c r="I31" s="101">
        <v>18.95</v>
      </c>
      <c r="J31" s="101">
        <v>18.7</v>
      </c>
      <c r="K31" s="101">
        <v>18.829999999999998</v>
      </c>
      <c r="L31" s="101">
        <v>20.149999999999999</v>
      </c>
      <c r="M31" s="101">
        <v>21.05</v>
      </c>
      <c r="N31" s="101">
        <v>23.73</v>
      </c>
      <c r="O31" s="101">
        <v>24.65</v>
      </c>
      <c r="P31" s="101">
        <v>26.68</v>
      </c>
      <c r="Q31" s="101">
        <v>29.75</v>
      </c>
      <c r="R31" s="101">
        <v>27</v>
      </c>
      <c r="S31" s="101">
        <v>28.46</v>
      </c>
      <c r="T31" s="101">
        <v>30.96</v>
      </c>
      <c r="U31" s="101">
        <v>31.7</v>
      </c>
      <c r="V31" s="101">
        <v>32.979999999999997</v>
      </c>
      <c r="W31" s="101">
        <v>33.75</v>
      </c>
      <c r="X31" s="101">
        <v>34.44</v>
      </c>
      <c r="Y31" s="101">
        <v>35.979999999999997</v>
      </c>
      <c r="Z31" s="101">
        <v>36.369999999999997</v>
      </c>
      <c r="AA31" s="101">
        <v>37.590000000000003</v>
      </c>
      <c r="AB31" s="101">
        <v>38.909999999999997</v>
      </c>
      <c r="AC31" s="101">
        <v>40.56</v>
      </c>
      <c r="AD31" s="101">
        <v>41.97</v>
      </c>
      <c r="AE31" s="101">
        <v>42.4</v>
      </c>
      <c r="AF31" s="101">
        <v>42.24</v>
      </c>
      <c r="AG31" s="101">
        <v>42.81</v>
      </c>
      <c r="AH31" s="101">
        <v>43.7</v>
      </c>
      <c r="AI31" s="101">
        <v>44.18</v>
      </c>
      <c r="AJ31" s="101">
        <v>41.31</v>
      </c>
      <c r="AK31" s="101">
        <v>39.29</v>
      </c>
      <c r="AL31" s="101">
        <v>34.61</v>
      </c>
      <c r="AM31" s="101">
        <v>32.85</v>
      </c>
      <c r="AN31" s="101">
        <v>30.95</v>
      </c>
      <c r="AO31" s="101">
        <v>32</v>
      </c>
      <c r="AP31" s="101">
        <v>32.299999999999997</v>
      </c>
      <c r="AQ31" s="101">
        <v>31.59</v>
      </c>
      <c r="AR31" s="101">
        <v>29.47</v>
      </c>
      <c r="AS31" s="101">
        <v>27.05</v>
      </c>
      <c r="AT31" s="101">
        <v>27.23</v>
      </c>
      <c r="AU31" s="101">
        <v>24.64</v>
      </c>
      <c r="AV31" s="101">
        <v>28.08</v>
      </c>
      <c r="AW31" s="101">
        <v>26.31</v>
      </c>
      <c r="AX31" s="101">
        <v>27.39</v>
      </c>
      <c r="AY31" s="102">
        <v>25.78</v>
      </c>
    </row>
    <row r="32" spans="2:51" ht="15" customHeight="1" x14ac:dyDescent="0.25">
      <c r="B32" s="190" t="s">
        <v>90</v>
      </c>
      <c r="C32" s="76" t="s">
        <v>1</v>
      </c>
      <c r="D32" s="103">
        <v>24</v>
      </c>
      <c r="E32" s="104">
        <v>22.26</v>
      </c>
      <c r="F32" s="104">
        <v>20.74</v>
      </c>
      <c r="G32" s="104">
        <v>19.510000000000002</v>
      </c>
      <c r="H32" s="104">
        <v>18.43</v>
      </c>
      <c r="I32" s="104">
        <v>17.98</v>
      </c>
      <c r="J32" s="104">
        <v>17.87</v>
      </c>
      <c r="K32" s="104">
        <v>17.940000000000001</v>
      </c>
      <c r="L32" s="104">
        <v>18.95</v>
      </c>
      <c r="M32" s="104">
        <v>19.91</v>
      </c>
      <c r="N32" s="104">
        <v>21.54</v>
      </c>
      <c r="O32" s="104">
        <v>22.51</v>
      </c>
      <c r="P32" s="104">
        <v>26.19</v>
      </c>
      <c r="Q32" s="104">
        <v>30.06</v>
      </c>
      <c r="R32" s="104">
        <v>27.85</v>
      </c>
      <c r="S32" s="104">
        <v>30.35</v>
      </c>
      <c r="T32" s="104">
        <v>34.11</v>
      </c>
      <c r="U32" s="104">
        <v>36.04</v>
      </c>
      <c r="V32" s="104">
        <v>37.29</v>
      </c>
      <c r="W32" s="104">
        <v>37.74</v>
      </c>
      <c r="X32" s="104">
        <v>36.92</v>
      </c>
      <c r="Y32" s="104">
        <v>38.9</v>
      </c>
      <c r="Z32" s="104">
        <v>39.909999999999997</v>
      </c>
      <c r="AA32" s="104">
        <v>42.81</v>
      </c>
      <c r="AB32" s="104">
        <v>43.8</v>
      </c>
      <c r="AC32" s="104">
        <v>46.59</v>
      </c>
      <c r="AD32" s="104">
        <v>48.7</v>
      </c>
      <c r="AE32" s="104">
        <v>50.06</v>
      </c>
      <c r="AF32" s="104">
        <v>50.58</v>
      </c>
      <c r="AG32" s="104">
        <v>49.08</v>
      </c>
      <c r="AH32" s="104">
        <v>51.47</v>
      </c>
      <c r="AI32" s="104">
        <v>53.16</v>
      </c>
      <c r="AJ32" s="104">
        <v>50.71</v>
      </c>
      <c r="AK32" s="104">
        <v>51.21</v>
      </c>
      <c r="AL32" s="104">
        <v>43.78</v>
      </c>
      <c r="AM32" s="104">
        <v>38.07</v>
      </c>
      <c r="AN32" s="104">
        <v>35.31</v>
      </c>
      <c r="AO32" s="104">
        <v>41.56</v>
      </c>
      <c r="AP32" s="104">
        <v>40.36</v>
      </c>
      <c r="AQ32" s="104">
        <v>37.18</v>
      </c>
      <c r="AR32" s="104">
        <v>32.57</v>
      </c>
      <c r="AS32" s="104">
        <v>29.11</v>
      </c>
      <c r="AT32" s="104">
        <v>29</v>
      </c>
      <c r="AU32" s="104">
        <v>25.14</v>
      </c>
      <c r="AV32" s="104">
        <v>30.81</v>
      </c>
      <c r="AW32" s="104">
        <v>30.27</v>
      </c>
      <c r="AX32" s="104">
        <v>29.28</v>
      </c>
      <c r="AY32" s="105">
        <v>25.86</v>
      </c>
    </row>
    <row r="33" spans="2:51" ht="15" customHeight="1" x14ac:dyDescent="0.25">
      <c r="B33" s="190" t="s">
        <v>90</v>
      </c>
      <c r="C33" s="76" t="s">
        <v>2</v>
      </c>
      <c r="D33" s="103">
        <v>26.53</v>
      </c>
      <c r="E33" s="104">
        <v>25.11</v>
      </c>
      <c r="F33" s="104">
        <v>24.02</v>
      </c>
      <c r="G33" s="104">
        <v>20.82</v>
      </c>
      <c r="H33" s="104">
        <v>18.260000000000002</v>
      </c>
      <c r="I33" s="104">
        <v>17.489999999999998</v>
      </c>
      <c r="J33" s="104">
        <v>16.11</v>
      </c>
      <c r="K33" s="104">
        <v>15.9</v>
      </c>
      <c r="L33" s="104">
        <v>17.46</v>
      </c>
      <c r="M33" s="104">
        <v>19.09</v>
      </c>
      <c r="N33" s="104">
        <v>21.88</v>
      </c>
      <c r="O33" s="104">
        <v>24.05</v>
      </c>
      <c r="P33" s="104">
        <v>27.31</v>
      </c>
      <c r="Q33" s="104">
        <v>32.049999999999997</v>
      </c>
      <c r="R33" s="104">
        <v>29.46</v>
      </c>
      <c r="S33" s="104">
        <v>30.7</v>
      </c>
      <c r="T33" s="104">
        <v>34</v>
      </c>
      <c r="U33" s="104">
        <v>35.18</v>
      </c>
      <c r="V33" s="104">
        <v>36.200000000000003</v>
      </c>
      <c r="W33" s="104">
        <v>37.090000000000003</v>
      </c>
      <c r="X33" s="104">
        <v>38.26</v>
      </c>
      <c r="Y33" s="104">
        <v>39.4</v>
      </c>
      <c r="Z33" s="104">
        <v>40.79</v>
      </c>
      <c r="AA33" s="104">
        <v>41.35</v>
      </c>
      <c r="AB33" s="104">
        <v>42.87</v>
      </c>
      <c r="AC33" s="104">
        <v>44.42</v>
      </c>
      <c r="AD33" s="104">
        <v>45.87</v>
      </c>
      <c r="AE33" s="104">
        <v>46.75</v>
      </c>
      <c r="AF33" s="104">
        <v>46.85</v>
      </c>
      <c r="AG33" s="104">
        <v>47.32</v>
      </c>
      <c r="AH33" s="104">
        <v>49.22</v>
      </c>
      <c r="AI33" s="104">
        <v>50.62</v>
      </c>
      <c r="AJ33" s="104">
        <v>48.81</v>
      </c>
      <c r="AK33" s="104">
        <v>46.55</v>
      </c>
      <c r="AL33" s="104">
        <v>43.34</v>
      </c>
      <c r="AM33" s="104">
        <v>40.36</v>
      </c>
      <c r="AN33" s="104">
        <v>38.1</v>
      </c>
      <c r="AO33" s="104">
        <v>37.659999999999997</v>
      </c>
      <c r="AP33" s="104">
        <v>36.53</v>
      </c>
      <c r="AQ33" s="104">
        <v>35.909999999999997</v>
      </c>
      <c r="AR33" s="104">
        <v>34.56</v>
      </c>
      <c r="AS33" s="104">
        <v>32.32</v>
      </c>
      <c r="AT33" s="104">
        <v>31.12</v>
      </c>
      <c r="AU33" s="104">
        <v>27.13</v>
      </c>
      <c r="AV33" s="104">
        <v>28.48</v>
      </c>
      <c r="AW33" s="104">
        <v>26.52</v>
      </c>
      <c r="AX33" s="104">
        <v>28.17</v>
      </c>
      <c r="AY33" s="105">
        <v>30.67</v>
      </c>
    </row>
    <row r="34" spans="2:51" ht="15" customHeight="1" x14ac:dyDescent="0.25">
      <c r="B34" s="190" t="s">
        <v>90</v>
      </c>
      <c r="C34" s="76" t="s">
        <v>3</v>
      </c>
      <c r="D34" s="103">
        <v>38.39</v>
      </c>
      <c r="E34" s="104">
        <v>36.86</v>
      </c>
      <c r="F34" s="104">
        <v>37.75</v>
      </c>
      <c r="G34" s="104">
        <v>36.549999999999997</v>
      </c>
      <c r="H34" s="104">
        <v>34.94</v>
      </c>
      <c r="I34" s="104">
        <v>34.340000000000003</v>
      </c>
      <c r="J34" s="104">
        <v>33.56</v>
      </c>
      <c r="K34" s="104">
        <v>34.049999999999997</v>
      </c>
      <c r="L34" s="104">
        <v>34.22</v>
      </c>
      <c r="M34" s="104">
        <v>35.49</v>
      </c>
      <c r="N34" s="104">
        <v>37.99</v>
      </c>
      <c r="O34" s="104">
        <v>39.68</v>
      </c>
      <c r="P34" s="104">
        <v>40.619999999999997</v>
      </c>
      <c r="Q34" s="104">
        <v>43.7</v>
      </c>
      <c r="R34" s="104">
        <v>41.18</v>
      </c>
      <c r="S34" s="104">
        <v>41.2</v>
      </c>
      <c r="T34" s="104">
        <v>43.86</v>
      </c>
      <c r="U34" s="104">
        <v>42.28</v>
      </c>
      <c r="V34" s="104">
        <v>44.45</v>
      </c>
      <c r="W34" s="104">
        <v>44.85</v>
      </c>
      <c r="X34" s="104">
        <v>45.28</v>
      </c>
      <c r="Y34" s="104">
        <v>45.77</v>
      </c>
      <c r="Z34" s="104">
        <v>45.76</v>
      </c>
      <c r="AA34" s="104">
        <v>44.13</v>
      </c>
      <c r="AB34" s="104">
        <v>41.62</v>
      </c>
      <c r="AC34" s="104">
        <v>38.85</v>
      </c>
      <c r="AD34" s="104">
        <v>40.15</v>
      </c>
      <c r="AE34" s="104">
        <v>39.83</v>
      </c>
      <c r="AF34" s="104">
        <v>38.369999999999997</v>
      </c>
      <c r="AG34" s="104">
        <v>38.56</v>
      </c>
      <c r="AH34" s="104">
        <v>39.42</v>
      </c>
      <c r="AI34" s="104">
        <v>39.08</v>
      </c>
      <c r="AJ34" s="104">
        <v>40.299999999999997</v>
      </c>
      <c r="AK34" s="104">
        <v>40.79</v>
      </c>
      <c r="AL34" s="104">
        <v>39.9</v>
      </c>
      <c r="AM34" s="104">
        <v>41.02</v>
      </c>
      <c r="AN34" s="104">
        <v>41.67</v>
      </c>
      <c r="AO34" s="104">
        <v>41.72</v>
      </c>
      <c r="AP34" s="104">
        <v>41.61</v>
      </c>
      <c r="AQ34" s="104">
        <v>43.02</v>
      </c>
      <c r="AR34" s="104">
        <v>42.86</v>
      </c>
      <c r="AS34" s="104">
        <v>40.68</v>
      </c>
      <c r="AT34" s="104">
        <v>41.11</v>
      </c>
      <c r="AU34" s="104">
        <v>39.15</v>
      </c>
      <c r="AV34" s="104">
        <v>40.950000000000003</v>
      </c>
      <c r="AW34" s="104">
        <v>39.880000000000003</v>
      </c>
      <c r="AX34" s="104">
        <v>40.58</v>
      </c>
      <c r="AY34" s="105">
        <v>40.56</v>
      </c>
    </row>
    <row r="35" spans="2:51" ht="15.75" customHeight="1" thickBot="1" x14ac:dyDescent="0.3">
      <c r="B35" s="191" t="s">
        <v>90</v>
      </c>
      <c r="C35" s="90" t="s">
        <v>4</v>
      </c>
      <c r="D35" s="106">
        <v>21.54</v>
      </c>
      <c r="E35" s="107">
        <v>20.079999999999998</v>
      </c>
      <c r="F35" s="107">
        <v>21.27</v>
      </c>
      <c r="G35" s="107">
        <v>18.62</v>
      </c>
      <c r="H35" s="107">
        <v>16.57</v>
      </c>
      <c r="I35" s="107">
        <v>15.98</v>
      </c>
      <c r="J35" s="107">
        <v>15.26</v>
      </c>
      <c r="K35" s="107">
        <v>15.32</v>
      </c>
      <c r="L35" s="107">
        <v>16.39</v>
      </c>
      <c r="M35" s="107">
        <v>17.559999999999999</v>
      </c>
      <c r="N35" s="107">
        <v>20.010000000000002</v>
      </c>
      <c r="O35" s="107">
        <v>22.26</v>
      </c>
      <c r="P35" s="107">
        <v>25.75</v>
      </c>
      <c r="Q35" s="107">
        <v>29.85</v>
      </c>
      <c r="R35" s="107">
        <v>25.92</v>
      </c>
      <c r="S35" s="107">
        <v>27.55</v>
      </c>
      <c r="T35" s="107">
        <v>30.36</v>
      </c>
      <c r="U35" s="107">
        <v>30.95</v>
      </c>
      <c r="V35" s="107">
        <v>32.06</v>
      </c>
      <c r="W35" s="107">
        <v>32.79</v>
      </c>
      <c r="X35" s="107">
        <v>33.520000000000003</v>
      </c>
      <c r="Y35" s="107">
        <v>35.119999999999997</v>
      </c>
      <c r="Z35" s="107">
        <v>35.22</v>
      </c>
      <c r="AA35" s="107">
        <v>36.06</v>
      </c>
      <c r="AB35" s="107">
        <v>37.020000000000003</v>
      </c>
      <c r="AC35" s="107">
        <v>38.049999999999997</v>
      </c>
      <c r="AD35" s="107">
        <v>39.28</v>
      </c>
      <c r="AE35" s="107">
        <v>39.799999999999997</v>
      </c>
      <c r="AF35" s="107">
        <v>40.32</v>
      </c>
      <c r="AG35" s="107">
        <v>40.909999999999997</v>
      </c>
      <c r="AH35" s="107">
        <v>41.88</v>
      </c>
      <c r="AI35" s="107">
        <v>43.34</v>
      </c>
      <c r="AJ35" s="107">
        <v>41</v>
      </c>
      <c r="AK35" s="107">
        <v>38.75</v>
      </c>
      <c r="AL35" s="107">
        <v>33.200000000000003</v>
      </c>
      <c r="AM35" s="107">
        <v>31.58</v>
      </c>
      <c r="AN35" s="107">
        <v>29.69</v>
      </c>
      <c r="AO35" s="107">
        <v>30.19</v>
      </c>
      <c r="AP35" s="107">
        <v>30.19</v>
      </c>
      <c r="AQ35" s="107">
        <v>30.01</v>
      </c>
      <c r="AR35" s="107">
        <v>28.9</v>
      </c>
      <c r="AS35" s="107">
        <v>26.37</v>
      </c>
      <c r="AT35" s="107">
        <v>25.57</v>
      </c>
      <c r="AU35" s="107">
        <v>22.32</v>
      </c>
      <c r="AV35" s="107">
        <v>24.48</v>
      </c>
      <c r="AW35" s="107">
        <v>22.82</v>
      </c>
      <c r="AX35" s="107">
        <v>25.94</v>
      </c>
      <c r="AY35" s="108">
        <v>24.5</v>
      </c>
    </row>
    <row r="36" spans="2:51" ht="15" customHeight="1" x14ac:dyDescent="0.25">
      <c r="B36" s="189" t="s">
        <v>91</v>
      </c>
      <c r="C36" s="89" t="s">
        <v>0</v>
      </c>
      <c r="D36" s="100">
        <v>24.26</v>
      </c>
      <c r="E36" s="101">
        <v>22.92</v>
      </c>
      <c r="F36" s="101">
        <v>22.64</v>
      </c>
      <c r="G36" s="101">
        <v>20.86</v>
      </c>
      <c r="H36" s="101">
        <v>19.559999999999999</v>
      </c>
      <c r="I36" s="101">
        <v>18.95</v>
      </c>
      <c r="J36" s="101">
        <v>18.7</v>
      </c>
      <c r="K36" s="101">
        <v>18.829999999999998</v>
      </c>
      <c r="L36" s="101">
        <v>20.149999999999999</v>
      </c>
      <c r="M36" s="101">
        <v>21.05</v>
      </c>
      <c r="N36" s="101">
        <v>23.73</v>
      </c>
      <c r="O36" s="101">
        <v>24.65</v>
      </c>
      <c r="P36" s="101">
        <v>26.7</v>
      </c>
      <c r="Q36" s="101">
        <v>29.81</v>
      </c>
      <c r="R36" s="101">
        <v>27</v>
      </c>
      <c r="S36" s="101">
        <v>28.46</v>
      </c>
      <c r="T36" s="101">
        <v>30.96</v>
      </c>
      <c r="U36" s="101">
        <v>31.7</v>
      </c>
      <c r="V36" s="101">
        <v>33</v>
      </c>
      <c r="W36" s="101">
        <v>33.869999999999997</v>
      </c>
      <c r="X36" s="101">
        <v>34.83</v>
      </c>
      <c r="Y36" s="101">
        <v>36.61</v>
      </c>
      <c r="Z36" s="101">
        <v>37.090000000000003</v>
      </c>
      <c r="AA36" s="101">
        <v>38.5</v>
      </c>
      <c r="AB36" s="101">
        <v>40.15</v>
      </c>
      <c r="AC36" s="101">
        <v>42.39</v>
      </c>
      <c r="AD36" s="101">
        <v>43.97</v>
      </c>
      <c r="AE36" s="101">
        <v>44.6</v>
      </c>
      <c r="AF36" s="101">
        <v>44.65</v>
      </c>
      <c r="AG36" s="101">
        <v>45.35</v>
      </c>
      <c r="AH36" s="101">
        <v>46.79</v>
      </c>
      <c r="AI36" s="101">
        <v>47.05</v>
      </c>
      <c r="AJ36" s="101">
        <v>43.14</v>
      </c>
      <c r="AK36" s="101">
        <v>40.549999999999997</v>
      </c>
      <c r="AL36" s="101">
        <v>35.11</v>
      </c>
      <c r="AM36" s="101">
        <v>33.380000000000003</v>
      </c>
      <c r="AN36" s="101">
        <v>31.19</v>
      </c>
      <c r="AO36" s="101">
        <v>32.14</v>
      </c>
      <c r="AP36" s="101">
        <v>32.44</v>
      </c>
      <c r="AQ36" s="101">
        <v>31.73</v>
      </c>
      <c r="AR36" s="101">
        <v>29.53</v>
      </c>
      <c r="AS36" s="101">
        <v>27.05</v>
      </c>
      <c r="AT36" s="101">
        <v>27.24</v>
      </c>
      <c r="AU36" s="101">
        <v>24.64</v>
      </c>
      <c r="AV36" s="101">
        <v>28.11</v>
      </c>
      <c r="AW36" s="101">
        <v>26.31</v>
      </c>
      <c r="AX36" s="101">
        <v>27.39</v>
      </c>
      <c r="AY36" s="102">
        <v>25.78</v>
      </c>
    </row>
    <row r="37" spans="2:51" ht="15" customHeight="1" x14ac:dyDescent="0.25">
      <c r="B37" s="190" t="s">
        <v>91</v>
      </c>
      <c r="C37" s="76" t="s">
        <v>1</v>
      </c>
      <c r="D37" s="103">
        <v>24.22</v>
      </c>
      <c r="E37" s="104">
        <v>22.32</v>
      </c>
      <c r="F37" s="104">
        <v>20.74</v>
      </c>
      <c r="G37" s="104">
        <v>19.559999999999999</v>
      </c>
      <c r="H37" s="104">
        <v>18.440000000000001</v>
      </c>
      <c r="I37" s="104">
        <v>17.98</v>
      </c>
      <c r="J37" s="104">
        <v>17.87</v>
      </c>
      <c r="K37" s="104">
        <v>17.940000000000001</v>
      </c>
      <c r="L37" s="104">
        <v>19.010000000000002</v>
      </c>
      <c r="M37" s="104">
        <v>20.02</v>
      </c>
      <c r="N37" s="104">
        <v>21.66</v>
      </c>
      <c r="O37" s="104">
        <v>22.51</v>
      </c>
      <c r="P37" s="104">
        <v>26.33</v>
      </c>
      <c r="Q37" s="104">
        <v>30.4</v>
      </c>
      <c r="R37" s="104">
        <v>28.19</v>
      </c>
      <c r="S37" s="104">
        <v>30.72</v>
      </c>
      <c r="T37" s="104">
        <v>34.99</v>
      </c>
      <c r="U37" s="104">
        <v>37.15</v>
      </c>
      <c r="V37" s="104">
        <v>38.49</v>
      </c>
      <c r="W37" s="104">
        <v>39.01</v>
      </c>
      <c r="X37" s="104">
        <v>37.799999999999997</v>
      </c>
      <c r="Y37" s="104">
        <v>40.04</v>
      </c>
      <c r="Z37" s="104">
        <v>41.08</v>
      </c>
      <c r="AA37" s="104">
        <v>44.54</v>
      </c>
      <c r="AB37" s="104">
        <v>45.98</v>
      </c>
      <c r="AC37" s="104">
        <v>49.2</v>
      </c>
      <c r="AD37" s="104">
        <v>51.57</v>
      </c>
      <c r="AE37" s="104">
        <v>53.78</v>
      </c>
      <c r="AF37" s="104">
        <v>54.64</v>
      </c>
      <c r="AG37" s="104">
        <v>52.78</v>
      </c>
      <c r="AH37" s="104">
        <v>55.96</v>
      </c>
      <c r="AI37" s="104">
        <v>57.93</v>
      </c>
      <c r="AJ37" s="104">
        <v>55.18</v>
      </c>
      <c r="AK37" s="104">
        <v>55.49</v>
      </c>
      <c r="AL37" s="104">
        <v>46.48</v>
      </c>
      <c r="AM37" s="104">
        <v>39.44</v>
      </c>
      <c r="AN37" s="104">
        <v>36.450000000000003</v>
      </c>
      <c r="AO37" s="104">
        <v>43.79</v>
      </c>
      <c r="AP37" s="104">
        <v>41.97</v>
      </c>
      <c r="AQ37" s="104">
        <v>38.44</v>
      </c>
      <c r="AR37" s="104">
        <v>33.18</v>
      </c>
      <c r="AS37" s="104">
        <v>29.48</v>
      </c>
      <c r="AT37" s="104">
        <v>29.16</v>
      </c>
      <c r="AU37" s="104">
        <v>25.16</v>
      </c>
      <c r="AV37" s="104">
        <v>31.21</v>
      </c>
      <c r="AW37" s="104">
        <v>30.8</v>
      </c>
      <c r="AX37" s="104">
        <v>29.45</v>
      </c>
      <c r="AY37" s="105">
        <v>25.91</v>
      </c>
    </row>
    <row r="38" spans="2:51" ht="15" customHeight="1" x14ac:dyDescent="0.25">
      <c r="B38" s="190" t="s">
        <v>91</v>
      </c>
      <c r="C38" s="76" t="s">
        <v>2</v>
      </c>
      <c r="D38" s="103">
        <v>26.62</v>
      </c>
      <c r="E38" s="104">
        <v>25.33</v>
      </c>
      <c r="F38" s="104">
        <v>24.11</v>
      </c>
      <c r="G38" s="104">
        <v>20.85</v>
      </c>
      <c r="H38" s="104">
        <v>18.29</v>
      </c>
      <c r="I38" s="104">
        <v>17.55</v>
      </c>
      <c r="J38" s="104">
        <v>16.149999999999999</v>
      </c>
      <c r="K38" s="104">
        <v>15.9</v>
      </c>
      <c r="L38" s="104">
        <v>17.46</v>
      </c>
      <c r="M38" s="104">
        <v>19.09</v>
      </c>
      <c r="N38" s="104">
        <v>21.88</v>
      </c>
      <c r="O38" s="104">
        <v>24.05</v>
      </c>
      <c r="P38" s="104">
        <v>27.38</v>
      </c>
      <c r="Q38" s="104">
        <v>32.24</v>
      </c>
      <c r="R38" s="104">
        <v>29.64</v>
      </c>
      <c r="S38" s="104">
        <v>30.75</v>
      </c>
      <c r="T38" s="104">
        <v>34.28</v>
      </c>
      <c r="U38" s="104">
        <v>35.590000000000003</v>
      </c>
      <c r="V38" s="104">
        <v>36.54</v>
      </c>
      <c r="W38" s="104">
        <v>37.69</v>
      </c>
      <c r="X38" s="104">
        <v>38.880000000000003</v>
      </c>
      <c r="Y38" s="104">
        <v>40.15</v>
      </c>
      <c r="Z38" s="104">
        <v>41.8</v>
      </c>
      <c r="AA38" s="104">
        <v>42.59</v>
      </c>
      <c r="AB38" s="104">
        <v>44.46</v>
      </c>
      <c r="AC38" s="104">
        <v>46.37</v>
      </c>
      <c r="AD38" s="104">
        <v>47.99</v>
      </c>
      <c r="AE38" s="104">
        <v>49.07</v>
      </c>
      <c r="AF38" s="104">
        <v>49.57</v>
      </c>
      <c r="AG38" s="104">
        <v>50.54</v>
      </c>
      <c r="AH38" s="104">
        <v>53.05</v>
      </c>
      <c r="AI38" s="104">
        <v>54.9</v>
      </c>
      <c r="AJ38" s="104">
        <v>52.56</v>
      </c>
      <c r="AK38" s="104">
        <v>49.67</v>
      </c>
      <c r="AL38" s="104">
        <v>45.34</v>
      </c>
      <c r="AM38" s="104">
        <v>41.86</v>
      </c>
      <c r="AN38" s="104">
        <v>39.33</v>
      </c>
      <c r="AO38" s="104">
        <v>38.6</v>
      </c>
      <c r="AP38" s="104">
        <v>37.17</v>
      </c>
      <c r="AQ38" s="104">
        <v>36.32</v>
      </c>
      <c r="AR38" s="104">
        <v>34.869999999999997</v>
      </c>
      <c r="AS38" s="104">
        <v>32.71</v>
      </c>
      <c r="AT38" s="104">
        <v>31.52</v>
      </c>
      <c r="AU38" s="104">
        <v>27.21</v>
      </c>
      <c r="AV38" s="104">
        <v>28.7</v>
      </c>
      <c r="AW38" s="104">
        <v>26.61</v>
      </c>
      <c r="AX38" s="104">
        <v>28.17</v>
      </c>
      <c r="AY38" s="105">
        <v>30.94</v>
      </c>
    </row>
    <row r="39" spans="2:51" ht="15" customHeight="1" x14ac:dyDescent="0.25">
      <c r="B39" s="190" t="s">
        <v>91</v>
      </c>
      <c r="C39" s="76" t="s">
        <v>3</v>
      </c>
      <c r="D39" s="103">
        <v>38.56</v>
      </c>
      <c r="E39" s="104">
        <v>36.99</v>
      </c>
      <c r="F39" s="104">
        <v>37.79</v>
      </c>
      <c r="G39" s="104">
        <v>36.590000000000003</v>
      </c>
      <c r="H39" s="104">
        <v>34.94</v>
      </c>
      <c r="I39" s="104">
        <v>34.39</v>
      </c>
      <c r="J39" s="104">
        <v>33.58</v>
      </c>
      <c r="K39" s="104">
        <v>34.17</v>
      </c>
      <c r="L39" s="104">
        <v>34.25</v>
      </c>
      <c r="M39" s="104">
        <v>35.54</v>
      </c>
      <c r="N39" s="104">
        <v>38.04</v>
      </c>
      <c r="O39" s="104">
        <v>39.950000000000003</v>
      </c>
      <c r="P39" s="104">
        <v>40.700000000000003</v>
      </c>
      <c r="Q39" s="104">
        <v>43.77</v>
      </c>
      <c r="R39" s="104">
        <v>41.25</v>
      </c>
      <c r="S39" s="104">
        <v>41.22</v>
      </c>
      <c r="T39" s="104">
        <v>44.11</v>
      </c>
      <c r="U39" s="104">
        <v>42.52</v>
      </c>
      <c r="V39" s="104">
        <v>44.9</v>
      </c>
      <c r="W39" s="104">
        <v>45.17</v>
      </c>
      <c r="X39" s="104">
        <v>45.79</v>
      </c>
      <c r="Y39" s="104">
        <v>46.24</v>
      </c>
      <c r="Z39" s="104">
        <v>46.33</v>
      </c>
      <c r="AA39" s="104">
        <v>44.37</v>
      </c>
      <c r="AB39" s="104">
        <v>41.97</v>
      </c>
      <c r="AC39" s="104">
        <v>39</v>
      </c>
      <c r="AD39" s="104">
        <v>40.35</v>
      </c>
      <c r="AE39" s="104">
        <v>40.11</v>
      </c>
      <c r="AF39" s="104">
        <v>38.67</v>
      </c>
      <c r="AG39" s="104">
        <v>38.78</v>
      </c>
      <c r="AH39" s="104">
        <v>39.75</v>
      </c>
      <c r="AI39" s="104">
        <v>39.520000000000003</v>
      </c>
      <c r="AJ39" s="104">
        <v>40.619999999999997</v>
      </c>
      <c r="AK39" s="104">
        <v>41.06</v>
      </c>
      <c r="AL39" s="104">
        <v>40.21</v>
      </c>
      <c r="AM39" s="104">
        <v>41.59</v>
      </c>
      <c r="AN39" s="104">
        <v>42.25</v>
      </c>
      <c r="AO39" s="104">
        <v>41.98</v>
      </c>
      <c r="AP39" s="104">
        <v>41.8</v>
      </c>
      <c r="AQ39" s="104">
        <v>43.2</v>
      </c>
      <c r="AR39" s="104">
        <v>43.01</v>
      </c>
      <c r="AS39" s="104">
        <v>40.700000000000003</v>
      </c>
      <c r="AT39" s="104">
        <v>41.18</v>
      </c>
      <c r="AU39" s="104">
        <v>39.14</v>
      </c>
      <c r="AV39" s="104">
        <v>41.13</v>
      </c>
      <c r="AW39" s="104">
        <v>40.130000000000003</v>
      </c>
      <c r="AX39" s="104">
        <v>40.71</v>
      </c>
      <c r="AY39" s="105">
        <v>40.6</v>
      </c>
    </row>
    <row r="40" spans="2:51" ht="15.75" customHeight="1" thickBot="1" x14ac:dyDescent="0.3">
      <c r="B40" s="191" t="s">
        <v>91</v>
      </c>
      <c r="C40" s="90" t="s">
        <v>4</v>
      </c>
      <c r="D40" s="106">
        <v>21.55</v>
      </c>
      <c r="E40" s="107">
        <v>20.13</v>
      </c>
      <c r="F40" s="107">
        <v>21.33</v>
      </c>
      <c r="G40" s="107">
        <v>18.63</v>
      </c>
      <c r="H40" s="107">
        <v>16.57</v>
      </c>
      <c r="I40" s="107">
        <v>15.98</v>
      </c>
      <c r="J40" s="107">
        <v>15.26</v>
      </c>
      <c r="K40" s="107">
        <v>15.32</v>
      </c>
      <c r="L40" s="107">
        <v>16.39</v>
      </c>
      <c r="M40" s="107">
        <v>17.559999999999999</v>
      </c>
      <c r="N40" s="107">
        <v>20.010000000000002</v>
      </c>
      <c r="O40" s="107">
        <v>22.26</v>
      </c>
      <c r="P40" s="107">
        <v>25.82</v>
      </c>
      <c r="Q40" s="107">
        <v>29.9</v>
      </c>
      <c r="R40" s="107">
        <v>25.92</v>
      </c>
      <c r="S40" s="107">
        <v>27.6</v>
      </c>
      <c r="T40" s="107">
        <v>30.47</v>
      </c>
      <c r="U40" s="107">
        <v>31.11</v>
      </c>
      <c r="V40" s="107">
        <v>32.21</v>
      </c>
      <c r="W40" s="107">
        <v>33.07</v>
      </c>
      <c r="X40" s="107">
        <v>33.880000000000003</v>
      </c>
      <c r="Y40" s="107">
        <v>35.549999999999997</v>
      </c>
      <c r="Z40" s="107">
        <v>35.74</v>
      </c>
      <c r="AA40" s="107">
        <v>36.64</v>
      </c>
      <c r="AB40" s="107">
        <v>37.770000000000003</v>
      </c>
      <c r="AC40" s="107">
        <v>39.130000000000003</v>
      </c>
      <c r="AD40" s="107">
        <v>40.51</v>
      </c>
      <c r="AE40" s="107">
        <v>41.14</v>
      </c>
      <c r="AF40" s="107">
        <v>42.01</v>
      </c>
      <c r="AG40" s="107">
        <v>42.97</v>
      </c>
      <c r="AH40" s="107">
        <v>44.29</v>
      </c>
      <c r="AI40" s="107">
        <v>46.14</v>
      </c>
      <c r="AJ40" s="107">
        <v>43.03</v>
      </c>
      <c r="AK40" s="107">
        <v>40.25</v>
      </c>
      <c r="AL40" s="107">
        <v>33.72</v>
      </c>
      <c r="AM40" s="107">
        <v>32.020000000000003</v>
      </c>
      <c r="AN40" s="107">
        <v>30.17</v>
      </c>
      <c r="AO40" s="107">
        <v>30.45</v>
      </c>
      <c r="AP40" s="107">
        <v>30.27</v>
      </c>
      <c r="AQ40" s="107">
        <v>30.05</v>
      </c>
      <c r="AR40" s="107">
        <v>28.95</v>
      </c>
      <c r="AS40" s="107">
        <v>26.38</v>
      </c>
      <c r="AT40" s="107">
        <v>25.59</v>
      </c>
      <c r="AU40" s="107">
        <v>22.34</v>
      </c>
      <c r="AV40" s="107">
        <v>24.51</v>
      </c>
      <c r="AW40" s="107">
        <v>22.82</v>
      </c>
      <c r="AX40" s="107">
        <v>25.95</v>
      </c>
      <c r="AY40" s="108">
        <v>24.51</v>
      </c>
    </row>
  </sheetData>
  <sheetProtection password="AFDE" sheet="1" objects="1" scenarios="1" formatCells="0" formatColumns="0" formatRows="0"/>
  <mergeCells count="12">
    <mergeCell ref="D6:F6"/>
    <mergeCell ref="D5:F5"/>
    <mergeCell ref="D7:F7"/>
    <mergeCell ref="B36:B40"/>
    <mergeCell ref="B15:C15"/>
    <mergeCell ref="M11:U12"/>
    <mergeCell ref="B16:B20"/>
    <mergeCell ref="B21:B25"/>
    <mergeCell ref="B26:B30"/>
    <mergeCell ref="B31:B35"/>
    <mergeCell ref="C12:F12"/>
    <mergeCell ref="C11:F11"/>
  </mergeCells>
  <pageMargins left="0.70866141732283472" right="0.70866141732283472" top="0.74803149606299213" bottom="0.74803149606299213" header="0.31496062992125984" footer="0.31496062992125984"/>
  <pageSetup paperSize="9" scale="64" fitToWidth="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N109"/>
  <sheetViews>
    <sheetView showGridLines="0" zoomScale="83" zoomScaleNormal="83" zoomScaleSheetLayoutView="40" workbookViewId="0">
      <pane xSplit="17" ySplit="2" topLeftCell="R3" activePane="bottomRight" state="frozenSplit"/>
      <selection pane="topRight" activeCell="R1" sqref="R1"/>
      <selection pane="bottomLeft" activeCell="A3" sqref="A3"/>
      <selection pane="bottomRight" activeCell="R3" sqref="R3"/>
    </sheetView>
  </sheetViews>
  <sheetFormatPr defaultRowHeight="15" x14ac:dyDescent="0.25"/>
  <cols>
    <col min="1" max="1" width="1.7109375" style="2" customWidth="1"/>
    <col min="2" max="2" width="8.7109375" style="2" customWidth="1"/>
    <col min="3" max="3" width="1.28515625" style="27" customWidth="1"/>
    <col min="4" max="4" width="24" style="27" customWidth="1"/>
    <col min="5" max="5" width="8.7109375" style="27" customWidth="1"/>
    <col min="6" max="6" width="1.5703125" style="27" customWidth="1"/>
    <col min="7" max="7" width="1.7109375" style="27" customWidth="1"/>
    <col min="8" max="8" width="11.5703125" style="27" customWidth="1"/>
    <col min="9" max="9" width="11.7109375" style="27" customWidth="1"/>
    <col min="10" max="11" width="1.28515625" style="2" customWidth="1"/>
    <col min="12" max="12" width="12.42578125" style="49" customWidth="1"/>
    <col min="13" max="13" width="12.28515625" style="2" customWidth="1"/>
    <col min="14" max="14" width="12.42578125" style="2" customWidth="1"/>
    <col min="15" max="15" width="1.5703125" style="2" customWidth="1"/>
    <col min="16" max="16" width="1.7109375" style="27" customWidth="1"/>
    <col min="17" max="17" width="12.140625" style="2" customWidth="1"/>
    <col min="18" max="65" width="6.140625" style="2" customWidth="1"/>
    <col min="66" max="67" width="6.42578125" style="2" customWidth="1"/>
    <col min="68" max="16384" width="9.140625" style="2"/>
  </cols>
  <sheetData>
    <row r="1" spans="2:66" ht="6.75" customHeight="1" x14ac:dyDescent="0.25"/>
    <row r="2" spans="2:66" ht="34.5" customHeight="1" x14ac:dyDescent="0.55000000000000004">
      <c r="B2" s="135" t="s">
        <v>12</v>
      </c>
      <c r="C2" s="2"/>
      <c r="D2" s="2"/>
      <c r="E2" s="2"/>
      <c r="F2" s="2"/>
      <c r="G2" s="2"/>
      <c r="H2" s="2"/>
      <c r="I2" s="2"/>
      <c r="J2" s="205" t="s">
        <v>142</v>
      </c>
      <c r="K2" s="205"/>
      <c r="L2" s="206"/>
      <c r="M2" s="176" t="s">
        <v>141</v>
      </c>
      <c r="R2" s="203" t="s">
        <v>0</v>
      </c>
      <c r="S2" s="204"/>
      <c r="T2" s="203" t="s">
        <v>1</v>
      </c>
      <c r="U2" s="204"/>
      <c r="V2" s="203" t="s">
        <v>2</v>
      </c>
      <c r="W2" s="204"/>
      <c r="X2" s="203" t="s">
        <v>3</v>
      </c>
      <c r="Y2" s="204"/>
      <c r="Z2" s="203" t="s">
        <v>4</v>
      </c>
      <c r="AA2" s="204"/>
    </row>
    <row r="3" spans="2:66" ht="6" customHeight="1" x14ac:dyDescent="0.25">
      <c r="C3" s="67"/>
      <c r="D3" s="67"/>
      <c r="E3" s="67"/>
      <c r="F3" s="67"/>
      <c r="G3" s="67"/>
      <c r="H3" s="67"/>
      <c r="I3" s="67"/>
      <c r="P3" s="67"/>
    </row>
    <row r="4" spans="2:66" ht="6" customHeight="1" x14ac:dyDescent="0.25">
      <c r="Q4" s="27"/>
      <c r="R4" s="79"/>
      <c r="S4" s="79"/>
      <c r="T4" s="79"/>
      <c r="V4" s="79"/>
      <c r="W4" s="79"/>
      <c r="X4" s="79"/>
      <c r="Z4" s="79"/>
      <c r="AA4" s="79"/>
      <c r="AB4" s="79"/>
      <c r="AD4" s="79"/>
      <c r="AE4" s="79"/>
      <c r="AF4" s="79"/>
    </row>
    <row r="5" spans="2:66" ht="6" customHeight="1" x14ac:dyDescent="0.5">
      <c r="B5" s="200" t="s">
        <v>0</v>
      </c>
      <c r="C5" s="129"/>
      <c r="D5" s="133"/>
      <c r="E5" s="133"/>
      <c r="F5" s="131"/>
      <c r="G5" s="68"/>
      <c r="H5" s="125"/>
      <c r="I5" s="69"/>
      <c r="J5" s="38"/>
      <c r="K5" s="37"/>
      <c r="L5" s="36"/>
      <c r="M5" s="37"/>
      <c r="N5" s="37"/>
      <c r="O5" s="37"/>
      <c r="P5" s="126"/>
      <c r="Q5" s="127"/>
      <c r="R5" s="37"/>
      <c r="S5" s="37"/>
      <c r="T5" s="37"/>
      <c r="U5" s="128"/>
      <c r="V5" s="37"/>
      <c r="W5" s="37"/>
      <c r="X5" s="37"/>
      <c r="Y5" s="128"/>
      <c r="Z5" s="37"/>
      <c r="AA5" s="37"/>
      <c r="AB5" s="37"/>
      <c r="AC5" s="128"/>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8"/>
    </row>
    <row r="6" spans="2:66" ht="16.5" customHeight="1" x14ac:dyDescent="0.25">
      <c r="B6" s="201"/>
      <c r="C6" s="30"/>
      <c r="D6" s="41"/>
      <c r="E6" s="41"/>
      <c r="F6" s="132"/>
      <c r="G6" s="30"/>
      <c r="H6" s="70" t="s">
        <v>11</v>
      </c>
      <c r="I6" s="71"/>
      <c r="J6" s="80"/>
      <c r="K6" s="81"/>
      <c r="L6" s="2"/>
      <c r="O6" s="81"/>
      <c r="P6" s="75"/>
      <c r="Q6" s="74" t="s">
        <v>85</v>
      </c>
      <c r="R6" s="88">
        <v>1</v>
      </c>
      <c r="S6" s="88">
        <v>2</v>
      </c>
      <c r="T6" s="88">
        <v>3</v>
      </c>
      <c r="U6" s="88">
        <v>4</v>
      </c>
      <c r="V6" s="88">
        <v>5</v>
      </c>
      <c r="W6" s="88">
        <v>6</v>
      </c>
      <c r="X6" s="88">
        <v>7</v>
      </c>
      <c r="Y6" s="88">
        <v>8</v>
      </c>
      <c r="Z6" s="88">
        <v>9</v>
      </c>
      <c r="AA6" s="88">
        <v>10</v>
      </c>
      <c r="AB6" s="88">
        <v>11</v>
      </c>
      <c r="AC6" s="88">
        <v>12</v>
      </c>
      <c r="AD6" s="88">
        <v>13</v>
      </c>
      <c r="AE6" s="88">
        <v>14</v>
      </c>
      <c r="AF6" s="88">
        <v>15</v>
      </c>
      <c r="AG6" s="88">
        <v>16</v>
      </c>
      <c r="AH6" s="88">
        <v>17</v>
      </c>
      <c r="AI6" s="88">
        <v>18</v>
      </c>
      <c r="AJ6" s="88">
        <v>19</v>
      </c>
      <c r="AK6" s="88">
        <v>20</v>
      </c>
      <c r="AL6" s="88">
        <v>21</v>
      </c>
      <c r="AM6" s="88">
        <v>22</v>
      </c>
      <c r="AN6" s="88">
        <v>23</v>
      </c>
      <c r="AO6" s="88">
        <v>24</v>
      </c>
      <c r="AP6" s="88">
        <v>25</v>
      </c>
      <c r="AQ6" s="88">
        <v>26</v>
      </c>
      <c r="AR6" s="88">
        <v>27</v>
      </c>
      <c r="AS6" s="88">
        <v>28</v>
      </c>
      <c r="AT6" s="88">
        <v>29</v>
      </c>
      <c r="AU6" s="88">
        <v>30</v>
      </c>
      <c r="AV6" s="88">
        <v>31</v>
      </c>
      <c r="AW6" s="88">
        <v>32</v>
      </c>
      <c r="AX6" s="88">
        <v>33</v>
      </c>
      <c r="AY6" s="88">
        <v>34</v>
      </c>
      <c r="AZ6" s="88">
        <v>35</v>
      </c>
      <c r="BA6" s="88">
        <v>36</v>
      </c>
      <c r="BB6" s="88">
        <v>37</v>
      </c>
      <c r="BC6" s="88">
        <v>38</v>
      </c>
      <c r="BD6" s="88">
        <v>39</v>
      </c>
      <c r="BE6" s="88">
        <v>40</v>
      </c>
      <c r="BF6" s="88">
        <v>41</v>
      </c>
      <c r="BG6" s="88">
        <v>42</v>
      </c>
      <c r="BH6" s="88">
        <v>43</v>
      </c>
      <c r="BI6" s="88">
        <v>44</v>
      </c>
      <c r="BJ6" s="88">
        <v>45</v>
      </c>
      <c r="BK6" s="88">
        <v>46</v>
      </c>
      <c r="BL6" s="88">
        <v>47</v>
      </c>
      <c r="BM6" s="88">
        <v>48</v>
      </c>
      <c r="BN6" s="80"/>
    </row>
    <row r="7" spans="2:66" ht="18.75" x14ac:dyDescent="0.35">
      <c r="B7" s="201"/>
      <c r="C7" s="30"/>
      <c r="D7" s="41"/>
      <c r="E7" s="41"/>
      <c r="F7" s="132" t="s">
        <v>130</v>
      </c>
      <c r="G7" s="30"/>
      <c r="H7" s="83" t="s">
        <v>29</v>
      </c>
      <c r="I7" s="157"/>
      <c r="J7" s="80"/>
      <c r="K7" s="81"/>
      <c r="L7" s="82" t="s">
        <v>51</v>
      </c>
      <c r="M7" s="82" t="s">
        <v>99</v>
      </c>
      <c r="N7" s="82" t="s">
        <v>68</v>
      </c>
      <c r="O7" s="81"/>
      <c r="P7" s="30"/>
      <c r="Q7" s="83" t="s">
        <v>35</v>
      </c>
      <c r="R7" s="158"/>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60"/>
      <c r="BN7" s="80"/>
    </row>
    <row r="8" spans="2:66" ht="18.75" x14ac:dyDescent="0.35">
      <c r="B8" s="201"/>
      <c r="C8" s="30"/>
      <c r="D8" s="41"/>
      <c r="E8" s="41"/>
      <c r="F8" s="132"/>
      <c r="G8" s="30"/>
      <c r="H8" s="77"/>
      <c r="I8" s="77"/>
      <c r="J8" s="80"/>
      <c r="K8" s="81"/>
      <c r="L8" s="175">
        <f>ROUND(IF(SUM(R7:BM7)=0,1.05,MAX(N8,N8^2)),2)</f>
        <v>1.05</v>
      </c>
      <c r="M8" s="84">
        <f>ROUND(IF(SUM(R7:BM7)=0,NSW_RLWP,SUMPRODUCT(R7:BM7,NSW_PHH)/SUM(R8:BM8)),2)</f>
        <v>38.409999999999997</v>
      </c>
      <c r="N8" s="84">
        <f>ROUND(M8/NSW_RLWP,2)</f>
        <v>1</v>
      </c>
      <c r="O8" s="81"/>
      <c r="P8" s="30"/>
      <c r="Q8" s="83" t="s">
        <v>36</v>
      </c>
      <c r="R8" s="161"/>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3"/>
      <c r="BN8" s="80"/>
    </row>
    <row r="9" spans="2:66" ht="18.75" x14ac:dyDescent="0.35">
      <c r="B9" s="201"/>
      <c r="C9" s="30"/>
      <c r="D9" s="41"/>
      <c r="E9" s="41"/>
      <c r="F9" s="132" t="s">
        <v>5</v>
      </c>
      <c r="G9" s="30"/>
      <c r="H9" s="83" t="s">
        <v>30</v>
      </c>
      <c r="I9" s="157"/>
      <c r="J9" s="80"/>
      <c r="K9" s="81"/>
      <c r="L9" s="46"/>
      <c r="M9" s="85"/>
      <c r="N9" s="85"/>
      <c r="O9" s="81"/>
      <c r="P9" s="30"/>
      <c r="Q9" s="83" t="s">
        <v>39</v>
      </c>
      <c r="R9" s="161"/>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3"/>
      <c r="BN9" s="80"/>
    </row>
    <row r="10" spans="2:66" ht="18.75" x14ac:dyDescent="0.35">
      <c r="B10" s="201"/>
      <c r="C10" s="30"/>
      <c r="D10" s="41"/>
      <c r="E10" s="41"/>
      <c r="F10" s="132" t="s">
        <v>6</v>
      </c>
      <c r="G10" s="30"/>
      <c r="H10" s="83" t="s">
        <v>31</v>
      </c>
      <c r="I10" s="157"/>
      <c r="J10" s="80"/>
      <c r="K10" s="81"/>
      <c r="L10" s="82" t="s">
        <v>52</v>
      </c>
      <c r="M10" s="82" t="s">
        <v>100</v>
      </c>
      <c r="N10" s="82" t="s">
        <v>69</v>
      </c>
      <c r="O10" s="81"/>
      <c r="P10" s="30"/>
      <c r="Q10" s="83" t="s">
        <v>40</v>
      </c>
      <c r="R10" s="161"/>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3"/>
      <c r="BN10" s="80"/>
    </row>
    <row r="11" spans="2:66" ht="18.75" x14ac:dyDescent="0.35">
      <c r="B11" s="201"/>
      <c r="C11" s="30"/>
      <c r="D11" s="41"/>
      <c r="E11" s="41"/>
      <c r="F11" s="132" t="s">
        <v>7</v>
      </c>
      <c r="G11" s="30"/>
      <c r="H11" s="83" t="s">
        <v>54</v>
      </c>
      <c r="I11" s="157"/>
      <c r="J11" s="80"/>
      <c r="K11" s="81"/>
      <c r="L11" s="175">
        <f>ROUND(IF(SUM(R14:BM14)=0,0.95,MAX(N11,N11^2)),2)</f>
        <v>0.95</v>
      </c>
      <c r="M11" s="84">
        <f>ROUND(IF(SUM(R14:BM14)=0,NSW_RLWP,SUMPRODUCT(R14:BM14,NSW_PHH)/SUM(R15:BM15)),2)</f>
        <v>38.409999999999997</v>
      </c>
      <c r="N11" s="84">
        <f>ROUND(M11/NSW_RLWP,2)</f>
        <v>1</v>
      </c>
      <c r="O11" s="81"/>
      <c r="P11" s="30"/>
      <c r="Q11" s="83" t="s">
        <v>60</v>
      </c>
      <c r="R11" s="161"/>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3"/>
      <c r="BN11" s="80"/>
    </row>
    <row r="12" spans="2:66" ht="18.75" x14ac:dyDescent="0.35">
      <c r="B12" s="201"/>
      <c r="C12" s="30"/>
      <c r="D12" s="41"/>
      <c r="E12" s="41"/>
      <c r="F12" s="132"/>
      <c r="G12" s="30"/>
      <c r="H12" s="83" t="s">
        <v>55</v>
      </c>
      <c r="I12" s="157"/>
      <c r="J12" s="80"/>
      <c r="K12" s="81"/>
      <c r="L12" s="46"/>
      <c r="M12" s="85"/>
      <c r="N12" s="85"/>
      <c r="O12" s="81"/>
      <c r="P12" s="30"/>
      <c r="Q12" s="83" t="s">
        <v>61</v>
      </c>
      <c r="R12" s="161"/>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3"/>
      <c r="BN12" s="80"/>
    </row>
    <row r="13" spans="2:66" ht="18.75" x14ac:dyDescent="0.35">
      <c r="B13" s="201"/>
      <c r="C13" s="30"/>
      <c r="D13" s="41"/>
      <c r="E13" s="41"/>
      <c r="F13" s="132"/>
      <c r="G13" s="30"/>
      <c r="H13" s="83" t="s">
        <v>56</v>
      </c>
      <c r="I13" s="157"/>
      <c r="J13" s="80"/>
      <c r="K13" s="81"/>
      <c r="L13" s="82" t="s">
        <v>53</v>
      </c>
      <c r="M13" s="82" t="s">
        <v>101</v>
      </c>
      <c r="N13" s="82" t="s">
        <v>76</v>
      </c>
      <c r="O13" s="81"/>
      <c r="P13" s="30"/>
      <c r="Q13" s="83" t="s">
        <v>62</v>
      </c>
      <c r="R13" s="161"/>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3"/>
      <c r="BN13" s="80"/>
    </row>
    <row r="14" spans="2:66" ht="18.75" x14ac:dyDescent="0.35">
      <c r="B14" s="201"/>
      <c r="C14" s="30"/>
      <c r="D14" s="41"/>
      <c r="E14" s="41"/>
      <c r="F14" s="132" t="s">
        <v>131</v>
      </c>
      <c r="G14" s="30"/>
      <c r="H14" s="83" t="s">
        <v>32</v>
      </c>
      <c r="I14" s="157"/>
      <c r="J14" s="80"/>
      <c r="K14" s="81"/>
      <c r="L14" s="175">
        <f>ROUND(MAX(N14,N14^2),2)</f>
        <v>1</v>
      </c>
      <c r="M14" s="84">
        <f>ROUND(IF(SUM(R21:BM21)=0,NSW_RLWP,SUMPRODUCT(R21:BM21,NSW_PHH)/SUM(R21:BM21)),2)</f>
        <v>38.409999999999997</v>
      </c>
      <c r="N14" s="84">
        <f>ROUND(M14/NSW_RLWP,2)</f>
        <v>1</v>
      </c>
      <c r="O14" s="81"/>
      <c r="P14" s="30"/>
      <c r="Q14" s="83" t="s">
        <v>37</v>
      </c>
      <c r="R14" s="161"/>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3"/>
      <c r="BN14" s="80"/>
    </row>
    <row r="15" spans="2:66" ht="18.75" x14ac:dyDescent="0.35">
      <c r="B15" s="201"/>
      <c r="C15" s="30"/>
      <c r="D15" s="41"/>
      <c r="E15" s="41"/>
      <c r="F15" s="132"/>
      <c r="G15" s="30"/>
      <c r="H15" s="77"/>
      <c r="I15" s="77"/>
      <c r="J15" s="80"/>
      <c r="K15" s="81"/>
      <c r="L15" s="46"/>
      <c r="M15" s="85"/>
      <c r="N15" s="85"/>
      <c r="O15" s="81"/>
      <c r="P15" s="30"/>
      <c r="Q15" s="83" t="s">
        <v>38</v>
      </c>
      <c r="R15" s="161"/>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3"/>
      <c r="BN15" s="80"/>
    </row>
    <row r="16" spans="2:66" ht="18.75" x14ac:dyDescent="0.35">
      <c r="B16" s="201"/>
      <c r="C16" s="30"/>
      <c r="D16" s="41"/>
      <c r="E16" s="41"/>
      <c r="F16" s="132" t="s">
        <v>8</v>
      </c>
      <c r="G16" s="30"/>
      <c r="H16" s="83" t="s">
        <v>33</v>
      </c>
      <c r="I16" s="157"/>
      <c r="J16" s="80"/>
      <c r="K16" s="81"/>
      <c r="L16" s="82" t="s">
        <v>82</v>
      </c>
      <c r="M16" s="82" t="s">
        <v>102</v>
      </c>
      <c r="N16" s="82" t="s">
        <v>80</v>
      </c>
      <c r="O16" s="81"/>
      <c r="P16" s="30"/>
      <c r="Q16" s="83" t="s">
        <v>41</v>
      </c>
      <c r="R16" s="161"/>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3"/>
      <c r="BN16" s="80"/>
    </row>
    <row r="17" spans="2:66" ht="18.75" x14ac:dyDescent="0.35">
      <c r="B17" s="201"/>
      <c r="C17" s="30"/>
      <c r="D17" s="41"/>
      <c r="E17" s="41"/>
      <c r="F17" s="132" t="s">
        <v>9</v>
      </c>
      <c r="G17" s="30"/>
      <c r="H17" s="83" t="s">
        <v>34</v>
      </c>
      <c r="I17" s="157"/>
      <c r="J17" s="80"/>
      <c r="K17" s="81"/>
      <c r="L17" s="175">
        <f>ROUND(MAX(N17,N17^2),2)</f>
        <v>1</v>
      </c>
      <c r="M17" s="84">
        <f>ROUND(IF(SUM(R22:BM22)=0,NSW_RLWPC100,SUMPRODUCT(R22:BM22,NSW_PHHC100)/SUM(R22:BM22)),2)</f>
        <v>30.47</v>
      </c>
      <c r="N17" s="84">
        <f>ROUND(M17/NSW_RLWPC100,2)</f>
        <v>1</v>
      </c>
      <c r="O17" s="81"/>
      <c r="P17" s="30"/>
      <c r="Q17" s="83" t="s">
        <v>42</v>
      </c>
      <c r="R17" s="161"/>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3"/>
      <c r="BN17" s="80"/>
    </row>
    <row r="18" spans="2:66" ht="18.75" x14ac:dyDescent="0.35">
      <c r="B18" s="201"/>
      <c r="C18" s="30"/>
      <c r="D18" s="41"/>
      <c r="E18" s="41"/>
      <c r="F18" s="132" t="s">
        <v>10</v>
      </c>
      <c r="G18" s="30"/>
      <c r="H18" s="83" t="s">
        <v>57</v>
      </c>
      <c r="I18" s="157"/>
      <c r="J18" s="80"/>
      <c r="K18" s="81"/>
      <c r="L18" s="2"/>
      <c r="O18" s="81"/>
      <c r="P18" s="30"/>
      <c r="Q18" s="83" t="s">
        <v>63</v>
      </c>
      <c r="R18" s="161"/>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3"/>
      <c r="BN18" s="80"/>
    </row>
    <row r="19" spans="2:66" ht="18.75" x14ac:dyDescent="0.35">
      <c r="B19" s="201"/>
      <c r="C19" s="30"/>
      <c r="D19" s="41"/>
      <c r="E19" s="41"/>
      <c r="F19" s="132"/>
      <c r="G19" s="30"/>
      <c r="H19" s="83" t="s">
        <v>58</v>
      </c>
      <c r="I19" s="157"/>
      <c r="J19" s="80"/>
      <c r="K19" s="81"/>
      <c r="L19" s="82" t="s">
        <v>79</v>
      </c>
      <c r="M19" s="82" t="s">
        <v>103</v>
      </c>
      <c r="N19" s="82" t="s">
        <v>81</v>
      </c>
      <c r="O19" s="81"/>
      <c r="P19" s="30"/>
      <c r="Q19" s="83" t="s">
        <v>64</v>
      </c>
      <c r="R19" s="161"/>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3"/>
      <c r="BN19" s="80"/>
    </row>
    <row r="20" spans="2:66" ht="18.75" x14ac:dyDescent="0.35">
      <c r="B20" s="201"/>
      <c r="C20" s="30"/>
      <c r="D20" s="41"/>
      <c r="E20" s="41"/>
      <c r="F20" s="132"/>
      <c r="G20" s="30"/>
      <c r="H20" s="83" t="s">
        <v>59</v>
      </c>
      <c r="I20" s="157"/>
      <c r="J20" s="80"/>
      <c r="K20" s="81"/>
      <c r="L20" s="175">
        <f>ROUND(MAX(N20,N20^2),2)</f>
        <v>1</v>
      </c>
      <c r="M20" s="84">
        <f>ROUND(IF(SUM(R23:BM23)=0,NSW_RLWPC200,SUMPRODUCT(R23:BM23,NSW_PHHC200)/SUM(R23:BM23)),2)</f>
        <v>31.49</v>
      </c>
      <c r="N20" s="84">
        <f>ROUND(M20/NSW_RLWPC200,2)</f>
        <v>1</v>
      </c>
      <c r="O20" s="81"/>
      <c r="P20" s="30"/>
      <c r="Q20" s="83" t="s">
        <v>65</v>
      </c>
      <c r="R20" s="161"/>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3"/>
      <c r="BN20" s="80"/>
    </row>
    <row r="21" spans="2:66" x14ac:dyDescent="0.25">
      <c r="B21" s="201"/>
      <c r="C21" s="30"/>
      <c r="D21" s="41"/>
      <c r="E21" s="41"/>
      <c r="F21" s="132"/>
      <c r="G21" s="30"/>
      <c r="H21" s="41"/>
      <c r="I21" s="41"/>
      <c r="J21" s="80"/>
      <c r="K21" s="81"/>
      <c r="L21" s="2"/>
      <c r="O21" s="81"/>
      <c r="P21" s="30"/>
      <c r="Q21" s="113" t="s">
        <v>66</v>
      </c>
      <c r="R21" s="114">
        <f t="shared" ref="R21:BM21" si="0">SUM(R9:R10)-SUM(R16:R17)</f>
        <v>0</v>
      </c>
      <c r="S21" s="115">
        <f t="shared" si="0"/>
        <v>0</v>
      </c>
      <c r="T21" s="115">
        <f t="shared" si="0"/>
        <v>0</v>
      </c>
      <c r="U21" s="115">
        <f t="shared" si="0"/>
        <v>0</v>
      </c>
      <c r="V21" s="115">
        <f t="shared" si="0"/>
        <v>0</v>
      </c>
      <c r="W21" s="115">
        <f t="shared" si="0"/>
        <v>0</v>
      </c>
      <c r="X21" s="115">
        <f t="shared" si="0"/>
        <v>0</v>
      </c>
      <c r="Y21" s="115">
        <f t="shared" si="0"/>
        <v>0</v>
      </c>
      <c r="Z21" s="115">
        <f t="shared" si="0"/>
        <v>0</v>
      </c>
      <c r="AA21" s="115">
        <f t="shared" si="0"/>
        <v>0</v>
      </c>
      <c r="AB21" s="115">
        <f t="shared" si="0"/>
        <v>0</v>
      </c>
      <c r="AC21" s="115">
        <f t="shared" si="0"/>
        <v>0</v>
      </c>
      <c r="AD21" s="115">
        <f t="shared" si="0"/>
        <v>0</v>
      </c>
      <c r="AE21" s="115">
        <f t="shared" si="0"/>
        <v>0</v>
      </c>
      <c r="AF21" s="115">
        <f t="shared" si="0"/>
        <v>0</v>
      </c>
      <c r="AG21" s="115">
        <f t="shared" si="0"/>
        <v>0</v>
      </c>
      <c r="AH21" s="115">
        <f t="shared" si="0"/>
        <v>0</v>
      </c>
      <c r="AI21" s="115">
        <f t="shared" si="0"/>
        <v>0</v>
      </c>
      <c r="AJ21" s="115">
        <f t="shared" si="0"/>
        <v>0</v>
      </c>
      <c r="AK21" s="115">
        <f t="shared" si="0"/>
        <v>0</v>
      </c>
      <c r="AL21" s="115">
        <f t="shared" si="0"/>
        <v>0</v>
      </c>
      <c r="AM21" s="115">
        <f t="shared" si="0"/>
        <v>0</v>
      </c>
      <c r="AN21" s="115">
        <f t="shared" si="0"/>
        <v>0</v>
      </c>
      <c r="AO21" s="115">
        <f t="shared" si="0"/>
        <v>0</v>
      </c>
      <c r="AP21" s="115">
        <f t="shared" si="0"/>
        <v>0</v>
      </c>
      <c r="AQ21" s="115">
        <f t="shared" si="0"/>
        <v>0</v>
      </c>
      <c r="AR21" s="115">
        <f t="shared" si="0"/>
        <v>0</v>
      </c>
      <c r="AS21" s="115">
        <f t="shared" si="0"/>
        <v>0</v>
      </c>
      <c r="AT21" s="115">
        <f t="shared" si="0"/>
        <v>0</v>
      </c>
      <c r="AU21" s="115">
        <f t="shared" si="0"/>
        <v>0</v>
      </c>
      <c r="AV21" s="115">
        <f t="shared" si="0"/>
        <v>0</v>
      </c>
      <c r="AW21" s="115">
        <f t="shared" si="0"/>
        <v>0</v>
      </c>
      <c r="AX21" s="115">
        <f t="shared" si="0"/>
        <v>0</v>
      </c>
      <c r="AY21" s="115">
        <f t="shared" si="0"/>
        <v>0</v>
      </c>
      <c r="AZ21" s="115">
        <f t="shared" si="0"/>
        <v>0</v>
      </c>
      <c r="BA21" s="115">
        <f t="shared" si="0"/>
        <v>0</v>
      </c>
      <c r="BB21" s="115">
        <f t="shared" si="0"/>
        <v>0</v>
      </c>
      <c r="BC21" s="115">
        <f t="shared" si="0"/>
        <v>0</v>
      </c>
      <c r="BD21" s="115">
        <f t="shared" si="0"/>
        <v>0</v>
      </c>
      <c r="BE21" s="115">
        <f t="shared" si="0"/>
        <v>0</v>
      </c>
      <c r="BF21" s="115">
        <f t="shared" si="0"/>
        <v>0</v>
      </c>
      <c r="BG21" s="115">
        <f t="shared" si="0"/>
        <v>0</v>
      </c>
      <c r="BH21" s="115">
        <f t="shared" si="0"/>
        <v>0</v>
      </c>
      <c r="BI21" s="115">
        <f t="shared" si="0"/>
        <v>0</v>
      </c>
      <c r="BJ21" s="115">
        <f t="shared" si="0"/>
        <v>0</v>
      </c>
      <c r="BK21" s="115">
        <f t="shared" si="0"/>
        <v>0</v>
      </c>
      <c r="BL21" s="115">
        <f t="shared" si="0"/>
        <v>0</v>
      </c>
      <c r="BM21" s="116">
        <f t="shared" si="0"/>
        <v>0</v>
      </c>
      <c r="BN21" s="80"/>
    </row>
    <row r="22" spans="2:66" ht="18.75" x14ac:dyDescent="0.35">
      <c r="B22" s="201"/>
      <c r="C22" s="30"/>
      <c r="D22" s="113" t="s">
        <v>137</v>
      </c>
      <c r="E22" s="156">
        <v>0</v>
      </c>
      <c r="F22" s="132"/>
      <c r="G22" s="30"/>
      <c r="H22" s="83" t="s">
        <v>43</v>
      </c>
      <c r="I22" s="157">
        <v>0</v>
      </c>
      <c r="J22" s="80"/>
      <c r="K22" s="81"/>
      <c r="L22" s="82" t="s">
        <v>78</v>
      </c>
      <c r="M22" s="82" t="s">
        <v>104</v>
      </c>
      <c r="N22" s="82" t="s">
        <v>77</v>
      </c>
      <c r="O22" s="81"/>
      <c r="P22" s="30"/>
      <c r="Q22" s="113" t="s">
        <v>67</v>
      </c>
      <c r="R22" s="114">
        <f>R11-R18</f>
        <v>0</v>
      </c>
      <c r="S22" s="115">
        <f t="shared" ref="S22:BM22" si="1">S11-S18</f>
        <v>0</v>
      </c>
      <c r="T22" s="115">
        <f t="shared" si="1"/>
        <v>0</v>
      </c>
      <c r="U22" s="115">
        <f t="shared" si="1"/>
        <v>0</v>
      </c>
      <c r="V22" s="115">
        <f t="shared" si="1"/>
        <v>0</v>
      </c>
      <c r="W22" s="115">
        <f t="shared" si="1"/>
        <v>0</v>
      </c>
      <c r="X22" s="115">
        <f t="shared" si="1"/>
        <v>0</v>
      </c>
      <c r="Y22" s="115">
        <f t="shared" si="1"/>
        <v>0</v>
      </c>
      <c r="Z22" s="115">
        <f t="shared" si="1"/>
        <v>0</v>
      </c>
      <c r="AA22" s="115">
        <f t="shared" si="1"/>
        <v>0</v>
      </c>
      <c r="AB22" s="115">
        <f t="shared" si="1"/>
        <v>0</v>
      </c>
      <c r="AC22" s="115">
        <f t="shared" si="1"/>
        <v>0</v>
      </c>
      <c r="AD22" s="115">
        <f t="shared" si="1"/>
        <v>0</v>
      </c>
      <c r="AE22" s="115">
        <f t="shared" si="1"/>
        <v>0</v>
      </c>
      <c r="AF22" s="115">
        <f t="shared" si="1"/>
        <v>0</v>
      </c>
      <c r="AG22" s="115">
        <f t="shared" si="1"/>
        <v>0</v>
      </c>
      <c r="AH22" s="115">
        <f t="shared" si="1"/>
        <v>0</v>
      </c>
      <c r="AI22" s="115">
        <f t="shared" si="1"/>
        <v>0</v>
      </c>
      <c r="AJ22" s="115">
        <f t="shared" si="1"/>
        <v>0</v>
      </c>
      <c r="AK22" s="115">
        <f t="shared" si="1"/>
        <v>0</v>
      </c>
      <c r="AL22" s="115">
        <f t="shared" si="1"/>
        <v>0</v>
      </c>
      <c r="AM22" s="115">
        <f t="shared" si="1"/>
        <v>0</v>
      </c>
      <c r="AN22" s="115">
        <f t="shared" si="1"/>
        <v>0</v>
      </c>
      <c r="AO22" s="115">
        <f t="shared" si="1"/>
        <v>0</v>
      </c>
      <c r="AP22" s="115">
        <f t="shared" si="1"/>
        <v>0</v>
      </c>
      <c r="AQ22" s="115">
        <f t="shared" si="1"/>
        <v>0</v>
      </c>
      <c r="AR22" s="115">
        <f t="shared" si="1"/>
        <v>0</v>
      </c>
      <c r="AS22" s="115">
        <f t="shared" si="1"/>
        <v>0</v>
      </c>
      <c r="AT22" s="115">
        <f t="shared" si="1"/>
        <v>0</v>
      </c>
      <c r="AU22" s="115">
        <f t="shared" si="1"/>
        <v>0</v>
      </c>
      <c r="AV22" s="115">
        <f t="shared" si="1"/>
        <v>0</v>
      </c>
      <c r="AW22" s="115">
        <f t="shared" si="1"/>
        <v>0</v>
      </c>
      <c r="AX22" s="115">
        <f t="shared" si="1"/>
        <v>0</v>
      </c>
      <c r="AY22" s="115">
        <f t="shared" si="1"/>
        <v>0</v>
      </c>
      <c r="AZ22" s="115">
        <f t="shared" si="1"/>
        <v>0</v>
      </c>
      <c r="BA22" s="115">
        <f t="shared" si="1"/>
        <v>0</v>
      </c>
      <c r="BB22" s="115">
        <f t="shared" si="1"/>
        <v>0</v>
      </c>
      <c r="BC22" s="115">
        <f t="shared" si="1"/>
        <v>0</v>
      </c>
      <c r="BD22" s="115">
        <f t="shared" si="1"/>
        <v>0</v>
      </c>
      <c r="BE22" s="115">
        <f t="shared" si="1"/>
        <v>0</v>
      </c>
      <c r="BF22" s="115">
        <f t="shared" si="1"/>
        <v>0</v>
      </c>
      <c r="BG22" s="115">
        <f t="shared" si="1"/>
        <v>0</v>
      </c>
      <c r="BH22" s="115">
        <f t="shared" si="1"/>
        <v>0</v>
      </c>
      <c r="BI22" s="115">
        <f t="shared" si="1"/>
        <v>0</v>
      </c>
      <c r="BJ22" s="115">
        <f t="shared" si="1"/>
        <v>0</v>
      </c>
      <c r="BK22" s="115">
        <f t="shared" si="1"/>
        <v>0</v>
      </c>
      <c r="BL22" s="115">
        <f t="shared" si="1"/>
        <v>0</v>
      </c>
      <c r="BM22" s="116">
        <f t="shared" si="1"/>
        <v>0</v>
      </c>
      <c r="BN22" s="80"/>
    </row>
    <row r="23" spans="2:66" ht="18.75" x14ac:dyDescent="0.35">
      <c r="B23" s="201"/>
      <c r="C23" s="30"/>
      <c r="D23" s="113" t="s">
        <v>138</v>
      </c>
      <c r="E23" s="156">
        <v>0</v>
      </c>
      <c r="F23" s="132"/>
      <c r="G23" s="30"/>
      <c r="H23" s="83" t="s">
        <v>44</v>
      </c>
      <c r="I23" s="157">
        <v>0</v>
      </c>
      <c r="J23" s="80"/>
      <c r="K23" s="81"/>
      <c r="L23" s="175">
        <f>ROUND(MAX(N23,N23^2),2)</f>
        <v>1</v>
      </c>
      <c r="M23" s="84">
        <f>ROUND(IF(SUM(R24:BM24)=0,NSW_RLWPC300,SUMPRODUCT(R24:BM24,NSW_PHHC300)/SUM(R24:BM24)),2)</f>
        <v>32.1</v>
      </c>
      <c r="N23" s="84">
        <f>ROUND(M23/NSW_RLWPC300,2)</f>
        <v>1</v>
      </c>
      <c r="O23" s="81"/>
      <c r="P23" s="30"/>
      <c r="Q23" s="113" t="s">
        <v>83</v>
      </c>
      <c r="R23" s="114">
        <f t="shared" ref="R23:BM23" si="2">R12-R19</f>
        <v>0</v>
      </c>
      <c r="S23" s="115">
        <f t="shared" si="2"/>
        <v>0</v>
      </c>
      <c r="T23" s="115">
        <f t="shared" si="2"/>
        <v>0</v>
      </c>
      <c r="U23" s="115">
        <f t="shared" si="2"/>
        <v>0</v>
      </c>
      <c r="V23" s="115">
        <f t="shared" si="2"/>
        <v>0</v>
      </c>
      <c r="W23" s="115">
        <f t="shared" si="2"/>
        <v>0</v>
      </c>
      <c r="X23" s="115">
        <f t="shared" si="2"/>
        <v>0</v>
      </c>
      <c r="Y23" s="115">
        <f t="shared" si="2"/>
        <v>0</v>
      </c>
      <c r="Z23" s="115">
        <f t="shared" si="2"/>
        <v>0</v>
      </c>
      <c r="AA23" s="115">
        <f t="shared" si="2"/>
        <v>0</v>
      </c>
      <c r="AB23" s="115">
        <f t="shared" si="2"/>
        <v>0</v>
      </c>
      <c r="AC23" s="115">
        <f t="shared" si="2"/>
        <v>0</v>
      </c>
      <c r="AD23" s="115">
        <f t="shared" si="2"/>
        <v>0</v>
      </c>
      <c r="AE23" s="115">
        <f t="shared" si="2"/>
        <v>0</v>
      </c>
      <c r="AF23" s="115">
        <f t="shared" si="2"/>
        <v>0</v>
      </c>
      <c r="AG23" s="115">
        <f t="shared" si="2"/>
        <v>0</v>
      </c>
      <c r="AH23" s="115">
        <f t="shared" si="2"/>
        <v>0</v>
      </c>
      <c r="AI23" s="115">
        <f t="shared" si="2"/>
        <v>0</v>
      </c>
      <c r="AJ23" s="115">
        <f t="shared" si="2"/>
        <v>0</v>
      </c>
      <c r="AK23" s="115">
        <f t="shared" si="2"/>
        <v>0</v>
      </c>
      <c r="AL23" s="115">
        <f t="shared" si="2"/>
        <v>0</v>
      </c>
      <c r="AM23" s="115">
        <f t="shared" si="2"/>
        <v>0</v>
      </c>
      <c r="AN23" s="115">
        <f t="shared" si="2"/>
        <v>0</v>
      </c>
      <c r="AO23" s="115">
        <f t="shared" si="2"/>
        <v>0</v>
      </c>
      <c r="AP23" s="115">
        <f t="shared" si="2"/>
        <v>0</v>
      </c>
      <c r="AQ23" s="115">
        <f t="shared" si="2"/>
        <v>0</v>
      </c>
      <c r="AR23" s="115">
        <f t="shared" si="2"/>
        <v>0</v>
      </c>
      <c r="AS23" s="115">
        <f t="shared" si="2"/>
        <v>0</v>
      </c>
      <c r="AT23" s="115">
        <f t="shared" si="2"/>
        <v>0</v>
      </c>
      <c r="AU23" s="115">
        <f t="shared" si="2"/>
        <v>0</v>
      </c>
      <c r="AV23" s="115">
        <f t="shared" si="2"/>
        <v>0</v>
      </c>
      <c r="AW23" s="115">
        <f t="shared" si="2"/>
        <v>0</v>
      </c>
      <c r="AX23" s="115">
        <f t="shared" si="2"/>
        <v>0</v>
      </c>
      <c r="AY23" s="115">
        <f t="shared" si="2"/>
        <v>0</v>
      </c>
      <c r="AZ23" s="115">
        <f t="shared" si="2"/>
        <v>0</v>
      </c>
      <c r="BA23" s="115">
        <f t="shared" si="2"/>
        <v>0</v>
      </c>
      <c r="BB23" s="115">
        <f t="shared" si="2"/>
        <v>0</v>
      </c>
      <c r="BC23" s="115">
        <f t="shared" si="2"/>
        <v>0</v>
      </c>
      <c r="BD23" s="115">
        <f t="shared" si="2"/>
        <v>0</v>
      </c>
      <c r="BE23" s="115">
        <f t="shared" si="2"/>
        <v>0</v>
      </c>
      <c r="BF23" s="115">
        <f t="shared" si="2"/>
        <v>0</v>
      </c>
      <c r="BG23" s="115">
        <f t="shared" si="2"/>
        <v>0</v>
      </c>
      <c r="BH23" s="115">
        <f t="shared" si="2"/>
        <v>0</v>
      </c>
      <c r="BI23" s="115">
        <f t="shared" si="2"/>
        <v>0</v>
      </c>
      <c r="BJ23" s="115">
        <f t="shared" si="2"/>
        <v>0</v>
      </c>
      <c r="BK23" s="115">
        <f t="shared" si="2"/>
        <v>0</v>
      </c>
      <c r="BL23" s="115">
        <f t="shared" si="2"/>
        <v>0</v>
      </c>
      <c r="BM23" s="116">
        <f t="shared" si="2"/>
        <v>0</v>
      </c>
      <c r="BN23" s="80"/>
    </row>
    <row r="24" spans="2:66" x14ac:dyDescent="0.25">
      <c r="B24" s="201"/>
      <c r="C24" s="30"/>
      <c r="D24" s="41"/>
      <c r="E24" s="41"/>
      <c r="F24" s="132"/>
      <c r="G24" s="30"/>
      <c r="H24" s="41"/>
      <c r="I24" s="41"/>
      <c r="J24" s="80"/>
      <c r="K24" s="81"/>
      <c r="L24" s="2"/>
      <c r="O24" s="81"/>
      <c r="P24" s="30"/>
      <c r="Q24" s="113" t="s">
        <v>84</v>
      </c>
      <c r="R24" s="117">
        <f>R13-R20</f>
        <v>0</v>
      </c>
      <c r="S24" s="118">
        <f t="shared" ref="S24:BM24" si="3">S13-S20</f>
        <v>0</v>
      </c>
      <c r="T24" s="118">
        <f t="shared" si="3"/>
        <v>0</v>
      </c>
      <c r="U24" s="118">
        <f t="shared" si="3"/>
        <v>0</v>
      </c>
      <c r="V24" s="118">
        <f t="shared" si="3"/>
        <v>0</v>
      </c>
      <c r="W24" s="118">
        <f t="shared" si="3"/>
        <v>0</v>
      </c>
      <c r="X24" s="118">
        <f t="shared" si="3"/>
        <v>0</v>
      </c>
      <c r="Y24" s="118">
        <f t="shared" si="3"/>
        <v>0</v>
      </c>
      <c r="Z24" s="118">
        <f t="shared" si="3"/>
        <v>0</v>
      </c>
      <c r="AA24" s="118">
        <f t="shared" si="3"/>
        <v>0</v>
      </c>
      <c r="AB24" s="118">
        <f t="shared" si="3"/>
        <v>0</v>
      </c>
      <c r="AC24" s="118">
        <f t="shared" si="3"/>
        <v>0</v>
      </c>
      <c r="AD24" s="118">
        <f t="shared" si="3"/>
        <v>0</v>
      </c>
      <c r="AE24" s="118">
        <f t="shared" si="3"/>
        <v>0</v>
      </c>
      <c r="AF24" s="118">
        <f t="shared" si="3"/>
        <v>0</v>
      </c>
      <c r="AG24" s="118">
        <f t="shared" si="3"/>
        <v>0</v>
      </c>
      <c r="AH24" s="118">
        <f t="shared" si="3"/>
        <v>0</v>
      </c>
      <c r="AI24" s="118">
        <f t="shared" si="3"/>
        <v>0</v>
      </c>
      <c r="AJ24" s="118">
        <f t="shared" si="3"/>
        <v>0</v>
      </c>
      <c r="AK24" s="118">
        <f t="shared" si="3"/>
        <v>0</v>
      </c>
      <c r="AL24" s="118">
        <f t="shared" si="3"/>
        <v>0</v>
      </c>
      <c r="AM24" s="118">
        <f t="shared" si="3"/>
        <v>0</v>
      </c>
      <c r="AN24" s="118">
        <f t="shared" si="3"/>
        <v>0</v>
      </c>
      <c r="AO24" s="118">
        <f t="shared" si="3"/>
        <v>0</v>
      </c>
      <c r="AP24" s="118">
        <f t="shared" si="3"/>
        <v>0</v>
      </c>
      <c r="AQ24" s="118">
        <f t="shared" si="3"/>
        <v>0</v>
      </c>
      <c r="AR24" s="118">
        <f t="shared" si="3"/>
        <v>0</v>
      </c>
      <c r="AS24" s="118">
        <f t="shared" si="3"/>
        <v>0</v>
      </c>
      <c r="AT24" s="118">
        <f t="shared" si="3"/>
        <v>0</v>
      </c>
      <c r="AU24" s="118">
        <f t="shared" si="3"/>
        <v>0</v>
      </c>
      <c r="AV24" s="118">
        <f t="shared" si="3"/>
        <v>0</v>
      </c>
      <c r="AW24" s="118">
        <f t="shared" si="3"/>
        <v>0</v>
      </c>
      <c r="AX24" s="118">
        <f t="shared" si="3"/>
        <v>0</v>
      </c>
      <c r="AY24" s="118">
        <f t="shared" si="3"/>
        <v>0</v>
      </c>
      <c r="AZ24" s="118">
        <f t="shared" si="3"/>
        <v>0</v>
      </c>
      <c r="BA24" s="118">
        <f t="shared" si="3"/>
        <v>0</v>
      </c>
      <c r="BB24" s="118">
        <f t="shared" si="3"/>
        <v>0</v>
      </c>
      <c r="BC24" s="118">
        <f t="shared" si="3"/>
        <v>0</v>
      </c>
      <c r="BD24" s="118">
        <f t="shared" si="3"/>
        <v>0</v>
      </c>
      <c r="BE24" s="118">
        <f t="shared" si="3"/>
        <v>0</v>
      </c>
      <c r="BF24" s="118">
        <f t="shared" si="3"/>
        <v>0</v>
      </c>
      <c r="BG24" s="118">
        <f t="shared" si="3"/>
        <v>0</v>
      </c>
      <c r="BH24" s="118">
        <f t="shared" si="3"/>
        <v>0</v>
      </c>
      <c r="BI24" s="118">
        <f t="shared" si="3"/>
        <v>0</v>
      </c>
      <c r="BJ24" s="118">
        <f t="shared" si="3"/>
        <v>0</v>
      </c>
      <c r="BK24" s="118">
        <f t="shared" si="3"/>
        <v>0</v>
      </c>
      <c r="BL24" s="118">
        <f t="shared" si="3"/>
        <v>0</v>
      </c>
      <c r="BM24" s="119">
        <f t="shared" si="3"/>
        <v>0</v>
      </c>
      <c r="BN24" s="80"/>
    </row>
    <row r="25" spans="2:66" ht="5.25" customHeight="1" x14ac:dyDescent="0.25">
      <c r="B25" s="202"/>
      <c r="C25" s="130"/>
      <c r="D25" s="55"/>
      <c r="E25" s="55"/>
      <c r="F25" s="78"/>
      <c r="G25" s="72"/>
      <c r="H25" s="73"/>
      <c r="I25" s="73"/>
      <c r="J25" s="87"/>
      <c r="K25" s="86"/>
      <c r="L25" s="121"/>
      <c r="M25" s="86"/>
      <c r="N25" s="86"/>
      <c r="O25" s="86"/>
      <c r="P25" s="72"/>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7"/>
    </row>
    <row r="26" spans="2:66" ht="5.25" customHeight="1" x14ac:dyDescent="0.5">
      <c r="B26" s="200" t="s">
        <v>1</v>
      </c>
      <c r="C26" s="129"/>
      <c r="D26" s="133"/>
      <c r="E26" s="133"/>
      <c r="F26" s="131"/>
      <c r="G26" s="68"/>
      <c r="H26" s="125"/>
      <c r="I26" s="69"/>
      <c r="J26" s="38"/>
      <c r="K26" s="37"/>
      <c r="L26" s="36"/>
      <c r="M26" s="37"/>
      <c r="N26" s="37"/>
      <c r="O26" s="37"/>
      <c r="P26" s="126"/>
      <c r="Q26" s="127"/>
      <c r="R26" s="37"/>
      <c r="S26" s="37"/>
      <c r="T26" s="37"/>
      <c r="U26" s="128"/>
      <c r="V26" s="37"/>
      <c r="W26" s="37"/>
      <c r="X26" s="37"/>
      <c r="Y26" s="128"/>
      <c r="Z26" s="37"/>
      <c r="AA26" s="37"/>
      <c r="AB26" s="37"/>
      <c r="AC26" s="128"/>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row>
    <row r="27" spans="2:66" ht="16.5" customHeight="1" x14ac:dyDescent="0.25">
      <c r="B27" s="201"/>
      <c r="C27" s="30"/>
      <c r="D27" s="41"/>
      <c r="E27" s="41"/>
      <c r="F27" s="132"/>
      <c r="G27" s="30"/>
      <c r="H27" s="70" t="s">
        <v>11</v>
      </c>
      <c r="I27" s="71"/>
      <c r="J27" s="80"/>
      <c r="K27" s="81"/>
      <c r="L27" s="2"/>
      <c r="O27" s="81"/>
      <c r="P27" s="75"/>
      <c r="Q27" s="74" t="s">
        <v>75</v>
      </c>
      <c r="R27" s="88">
        <v>1</v>
      </c>
      <c r="S27" s="88">
        <v>2</v>
      </c>
      <c r="T27" s="88">
        <v>3</v>
      </c>
      <c r="U27" s="88">
        <v>4</v>
      </c>
      <c r="V27" s="88">
        <v>5</v>
      </c>
      <c r="W27" s="88">
        <v>6</v>
      </c>
      <c r="X27" s="88">
        <v>7</v>
      </c>
      <c r="Y27" s="88">
        <v>8</v>
      </c>
      <c r="Z27" s="88">
        <v>9</v>
      </c>
      <c r="AA27" s="88">
        <v>10</v>
      </c>
      <c r="AB27" s="88">
        <v>11</v>
      </c>
      <c r="AC27" s="88">
        <v>12</v>
      </c>
      <c r="AD27" s="88">
        <v>13</v>
      </c>
      <c r="AE27" s="88">
        <v>14</v>
      </c>
      <c r="AF27" s="88">
        <v>15</v>
      </c>
      <c r="AG27" s="88">
        <v>16</v>
      </c>
      <c r="AH27" s="88">
        <v>17</v>
      </c>
      <c r="AI27" s="88">
        <v>18</v>
      </c>
      <c r="AJ27" s="88">
        <v>19</v>
      </c>
      <c r="AK27" s="88">
        <v>20</v>
      </c>
      <c r="AL27" s="88">
        <v>21</v>
      </c>
      <c r="AM27" s="88">
        <v>22</v>
      </c>
      <c r="AN27" s="88">
        <v>23</v>
      </c>
      <c r="AO27" s="88">
        <v>24</v>
      </c>
      <c r="AP27" s="88">
        <v>25</v>
      </c>
      <c r="AQ27" s="88">
        <v>26</v>
      </c>
      <c r="AR27" s="88">
        <v>27</v>
      </c>
      <c r="AS27" s="88">
        <v>28</v>
      </c>
      <c r="AT27" s="88">
        <v>29</v>
      </c>
      <c r="AU27" s="88">
        <v>30</v>
      </c>
      <c r="AV27" s="88">
        <v>31</v>
      </c>
      <c r="AW27" s="88">
        <v>32</v>
      </c>
      <c r="AX27" s="88">
        <v>33</v>
      </c>
      <c r="AY27" s="88">
        <v>34</v>
      </c>
      <c r="AZ27" s="88">
        <v>35</v>
      </c>
      <c r="BA27" s="88">
        <v>36</v>
      </c>
      <c r="BB27" s="88">
        <v>37</v>
      </c>
      <c r="BC27" s="88">
        <v>38</v>
      </c>
      <c r="BD27" s="88">
        <v>39</v>
      </c>
      <c r="BE27" s="88">
        <v>40</v>
      </c>
      <c r="BF27" s="88">
        <v>41</v>
      </c>
      <c r="BG27" s="88">
        <v>42</v>
      </c>
      <c r="BH27" s="88">
        <v>43</v>
      </c>
      <c r="BI27" s="88">
        <v>44</v>
      </c>
      <c r="BJ27" s="88">
        <v>45</v>
      </c>
      <c r="BK27" s="88">
        <v>46</v>
      </c>
      <c r="BL27" s="88">
        <v>47</v>
      </c>
      <c r="BM27" s="88">
        <v>48</v>
      </c>
      <c r="BN27" s="80"/>
    </row>
    <row r="28" spans="2:66" ht="18.75" x14ac:dyDescent="0.35">
      <c r="B28" s="201"/>
      <c r="C28" s="30"/>
      <c r="D28" s="41"/>
      <c r="E28" s="41"/>
      <c r="F28" s="132" t="s">
        <v>130</v>
      </c>
      <c r="G28" s="30"/>
      <c r="H28" s="83" t="s">
        <v>29</v>
      </c>
      <c r="I28" s="157"/>
      <c r="J28" s="80"/>
      <c r="K28" s="81"/>
      <c r="L28" s="82" t="s">
        <v>51</v>
      </c>
      <c r="M28" s="82" t="s">
        <v>99</v>
      </c>
      <c r="N28" s="82" t="s">
        <v>68</v>
      </c>
      <c r="O28" s="81"/>
      <c r="P28" s="30"/>
      <c r="Q28" s="83" t="s">
        <v>35</v>
      </c>
      <c r="R28" s="158"/>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60"/>
      <c r="BN28" s="80"/>
    </row>
    <row r="29" spans="2:66" ht="18.75" x14ac:dyDescent="0.35">
      <c r="B29" s="201"/>
      <c r="C29" s="30"/>
      <c r="D29" s="41"/>
      <c r="E29" s="41"/>
      <c r="F29" s="132"/>
      <c r="G29" s="30"/>
      <c r="H29" s="77"/>
      <c r="I29" s="77"/>
      <c r="J29" s="80"/>
      <c r="K29" s="81"/>
      <c r="L29" s="175">
        <f>ROUND(IF(SUM(R28:BM28)=0,1.05,MAX(N29,N29^2)),2)</f>
        <v>1.05</v>
      </c>
      <c r="M29" s="84">
        <f>ROUND(IF(SUM(R28:BM28)=0,QLD_RLWP,SUMPRODUCT(R28:BM28,QLD_PHH)/SUM(R29:BM29)),2)</f>
        <v>47.61</v>
      </c>
      <c r="N29" s="84">
        <f>ROUND(M29/QLD_RLWP,2)</f>
        <v>1</v>
      </c>
      <c r="O29" s="81"/>
      <c r="P29" s="30"/>
      <c r="Q29" s="83" t="s">
        <v>36</v>
      </c>
      <c r="R29" s="161"/>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3"/>
      <c r="BN29" s="80"/>
    </row>
    <row r="30" spans="2:66" ht="18.75" x14ac:dyDescent="0.35">
      <c r="B30" s="201"/>
      <c r="C30" s="30"/>
      <c r="D30" s="41"/>
      <c r="E30" s="41"/>
      <c r="F30" s="132" t="s">
        <v>5</v>
      </c>
      <c r="G30" s="30"/>
      <c r="H30" s="83" t="s">
        <v>30</v>
      </c>
      <c r="I30" s="157"/>
      <c r="J30" s="80"/>
      <c r="K30" s="81"/>
      <c r="L30" s="46"/>
      <c r="M30" s="85"/>
      <c r="N30" s="85"/>
      <c r="O30" s="81"/>
      <c r="P30" s="30"/>
      <c r="Q30" s="83" t="s">
        <v>39</v>
      </c>
      <c r="R30" s="161"/>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3"/>
      <c r="BN30" s="80"/>
    </row>
    <row r="31" spans="2:66" ht="18.75" x14ac:dyDescent="0.35">
      <c r="B31" s="201"/>
      <c r="C31" s="30"/>
      <c r="D31" s="41"/>
      <c r="E31" s="41"/>
      <c r="F31" s="132" t="s">
        <v>6</v>
      </c>
      <c r="G31" s="30"/>
      <c r="H31" s="83" t="s">
        <v>31</v>
      </c>
      <c r="I31" s="157"/>
      <c r="J31" s="80"/>
      <c r="K31" s="81"/>
      <c r="L31" s="82" t="s">
        <v>52</v>
      </c>
      <c r="M31" s="82" t="s">
        <v>100</v>
      </c>
      <c r="N31" s="82" t="s">
        <v>69</v>
      </c>
      <c r="O31" s="81"/>
      <c r="P31" s="30"/>
      <c r="Q31" s="83" t="s">
        <v>40</v>
      </c>
      <c r="R31" s="161"/>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3"/>
      <c r="BN31" s="80"/>
    </row>
    <row r="32" spans="2:66" ht="18.75" x14ac:dyDescent="0.35">
      <c r="B32" s="201"/>
      <c r="C32" s="30"/>
      <c r="D32" s="41"/>
      <c r="E32" s="41"/>
      <c r="F32" s="132" t="s">
        <v>7</v>
      </c>
      <c r="G32" s="30"/>
      <c r="H32" s="83" t="s">
        <v>54</v>
      </c>
      <c r="I32" s="157"/>
      <c r="J32" s="80"/>
      <c r="K32" s="81"/>
      <c r="L32" s="175">
        <f>ROUND(IF(SUM(R35:BM35)=0,0.95,MAX(N32,N32^2)),2)</f>
        <v>0.95</v>
      </c>
      <c r="M32" s="84">
        <f>ROUND(IF(SUM(R35:BM35)=0,QLD_RLWP,SUMPRODUCT(R35:BM35,QLD_PHH)/SUM(R36:BM36)),2)</f>
        <v>47.61</v>
      </c>
      <c r="N32" s="84">
        <f>ROUND(M32/QLD_RLWP,2)</f>
        <v>1</v>
      </c>
      <c r="O32" s="81"/>
      <c r="P32" s="30"/>
      <c r="Q32" s="83" t="s">
        <v>60</v>
      </c>
      <c r="R32" s="161"/>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3"/>
      <c r="BN32" s="80"/>
    </row>
    <row r="33" spans="2:66" ht="18.75" x14ac:dyDescent="0.35">
      <c r="B33" s="201"/>
      <c r="C33" s="30"/>
      <c r="D33" s="41"/>
      <c r="E33" s="41"/>
      <c r="F33" s="132"/>
      <c r="G33" s="30"/>
      <c r="H33" s="83" t="s">
        <v>55</v>
      </c>
      <c r="I33" s="157"/>
      <c r="J33" s="80"/>
      <c r="K33" s="81"/>
      <c r="L33" s="46"/>
      <c r="M33" s="85"/>
      <c r="N33" s="85"/>
      <c r="O33" s="81"/>
      <c r="P33" s="30"/>
      <c r="Q33" s="83" t="s">
        <v>61</v>
      </c>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3"/>
      <c r="BN33" s="80"/>
    </row>
    <row r="34" spans="2:66" ht="18.75" x14ac:dyDescent="0.35">
      <c r="B34" s="201"/>
      <c r="C34" s="30"/>
      <c r="D34" s="41"/>
      <c r="E34" s="41"/>
      <c r="F34" s="132"/>
      <c r="G34" s="30"/>
      <c r="H34" s="83" t="s">
        <v>56</v>
      </c>
      <c r="I34" s="157"/>
      <c r="J34" s="80"/>
      <c r="K34" s="81"/>
      <c r="L34" s="82" t="s">
        <v>53</v>
      </c>
      <c r="M34" s="82" t="s">
        <v>101</v>
      </c>
      <c r="N34" s="82" t="s">
        <v>76</v>
      </c>
      <c r="O34" s="81"/>
      <c r="P34" s="30"/>
      <c r="Q34" s="83" t="s">
        <v>62</v>
      </c>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3"/>
      <c r="BN34" s="80"/>
    </row>
    <row r="35" spans="2:66" ht="18.75" x14ac:dyDescent="0.35">
      <c r="B35" s="201"/>
      <c r="C35" s="30"/>
      <c r="D35" s="41"/>
      <c r="E35" s="41"/>
      <c r="F35" s="132" t="s">
        <v>131</v>
      </c>
      <c r="G35" s="30"/>
      <c r="H35" s="83" t="s">
        <v>32</v>
      </c>
      <c r="I35" s="157"/>
      <c r="J35" s="80"/>
      <c r="K35" s="81"/>
      <c r="L35" s="175">
        <f>ROUND(MAX(N35,N35^2),2)</f>
        <v>1</v>
      </c>
      <c r="M35" s="84">
        <f>ROUND(IF(SUM(R42:BM42)=0,QLD_RLWP,SUMPRODUCT(R42:BM42,QLD_PHH)/SUM(R42:BM42)),2)</f>
        <v>47.61</v>
      </c>
      <c r="N35" s="84">
        <f>ROUND(M35/QLD_RLWP,2)</f>
        <v>1</v>
      </c>
      <c r="O35" s="81"/>
      <c r="P35" s="30"/>
      <c r="Q35" s="83" t="s">
        <v>37</v>
      </c>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3"/>
      <c r="BN35" s="80"/>
    </row>
    <row r="36" spans="2:66" ht="18.75" x14ac:dyDescent="0.35">
      <c r="B36" s="201"/>
      <c r="C36" s="30"/>
      <c r="D36" s="41"/>
      <c r="E36" s="41"/>
      <c r="F36" s="132"/>
      <c r="G36" s="30"/>
      <c r="H36" s="77"/>
      <c r="I36" s="77"/>
      <c r="J36" s="80"/>
      <c r="K36" s="81"/>
      <c r="L36" s="46"/>
      <c r="M36" s="85"/>
      <c r="N36" s="85"/>
      <c r="O36" s="81"/>
      <c r="P36" s="30"/>
      <c r="Q36" s="83" t="s">
        <v>38</v>
      </c>
      <c r="R36" s="161"/>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3"/>
      <c r="BN36" s="80"/>
    </row>
    <row r="37" spans="2:66" ht="18.75" x14ac:dyDescent="0.35">
      <c r="B37" s="201"/>
      <c r="C37" s="30"/>
      <c r="D37" s="41"/>
      <c r="E37" s="41"/>
      <c r="F37" s="132" t="s">
        <v>8</v>
      </c>
      <c r="G37" s="30"/>
      <c r="H37" s="83" t="s">
        <v>33</v>
      </c>
      <c r="I37" s="157"/>
      <c r="J37" s="80"/>
      <c r="K37" s="81"/>
      <c r="L37" s="82" t="s">
        <v>82</v>
      </c>
      <c r="M37" s="82" t="s">
        <v>102</v>
      </c>
      <c r="N37" s="82" t="s">
        <v>80</v>
      </c>
      <c r="O37" s="81"/>
      <c r="P37" s="30"/>
      <c r="Q37" s="83" t="s">
        <v>41</v>
      </c>
      <c r="R37" s="161"/>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3"/>
      <c r="BN37" s="80"/>
    </row>
    <row r="38" spans="2:66" ht="18.75" x14ac:dyDescent="0.35">
      <c r="B38" s="201"/>
      <c r="C38" s="30"/>
      <c r="D38" s="41"/>
      <c r="E38" s="41"/>
      <c r="F38" s="132" t="s">
        <v>9</v>
      </c>
      <c r="G38" s="30"/>
      <c r="H38" s="83" t="s">
        <v>34</v>
      </c>
      <c r="I38" s="157"/>
      <c r="J38" s="80"/>
      <c r="K38" s="81"/>
      <c r="L38" s="175">
        <f>ROUND(MAX(N38,N38^2),2)</f>
        <v>1</v>
      </c>
      <c r="M38" s="84">
        <f>ROUND(IF(SUM(R43:BM43)=0,QLD_RLWPC100,SUMPRODUCT(R43:BM43,QLD_PHHC100)/SUM(R43:BM43)),2)</f>
        <v>32.19</v>
      </c>
      <c r="N38" s="84">
        <f>ROUND(M38/QLD_RLWPC100,2)</f>
        <v>1</v>
      </c>
      <c r="O38" s="81"/>
      <c r="P38" s="30"/>
      <c r="Q38" s="83" t="s">
        <v>42</v>
      </c>
      <c r="R38" s="161"/>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3"/>
      <c r="BN38" s="80"/>
    </row>
    <row r="39" spans="2:66" ht="18.75" x14ac:dyDescent="0.35">
      <c r="B39" s="201"/>
      <c r="C39" s="30"/>
      <c r="D39" s="41"/>
      <c r="E39" s="41"/>
      <c r="F39" s="132" t="s">
        <v>10</v>
      </c>
      <c r="G39" s="30"/>
      <c r="H39" s="83" t="s">
        <v>57</v>
      </c>
      <c r="I39" s="157"/>
      <c r="J39" s="80"/>
      <c r="K39" s="81"/>
      <c r="L39" s="2"/>
      <c r="O39" s="81"/>
      <c r="P39" s="30"/>
      <c r="Q39" s="83" t="s">
        <v>63</v>
      </c>
      <c r="R39" s="161"/>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3"/>
      <c r="BN39" s="80"/>
    </row>
    <row r="40" spans="2:66" ht="18.75" x14ac:dyDescent="0.35">
      <c r="B40" s="201"/>
      <c r="C40" s="30"/>
      <c r="D40" s="41"/>
      <c r="E40" s="41"/>
      <c r="F40" s="132"/>
      <c r="G40" s="30"/>
      <c r="H40" s="83" t="s">
        <v>58</v>
      </c>
      <c r="I40" s="157"/>
      <c r="J40" s="80"/>
      <c r="K40" s="81"/>
      <c r="L40" s="82" t="s">
        <v>79</v>
      </c>
      <c r="M40" s="82" t="s">
        <v>103</v>
      </c>
      <c r="N40" s="82" t="s">
        <v>81</v>
      </c>
      <c r="O40" s="81"/>
      <c r="P40" s="30"/>
      <c r="Q40" s="83" t="s">
        <v>64</v>
      </c>
      <c r="R40" s="161"/>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3"/>
      <c r="BN40" s="80"/>
    </row>
    <row r="41" spans="2:66" ht="18.75" x14ac:dyDescent="0.35">
      <c r="B41" s="201"/>
      <c r="C41" s="30"/>
      <c r="D41" s="41"/>
      <c r="E41" s="41"/>
      <c r="F41" s="132"/>
      <c r="G41" s="30"/>
      <c r="H41" s="83" t="s">
        <v>59</v>
      </c>
      <c r="I41" s="157"/>
      <c r="J41" s="80"/>
      <c r="K41" s="81"/>
      <c r="L41" s="175">
        <f>ROUND(MAX(N41,N41^2),2)</f>
        <v>1</v>
      </c>
      <c r="M41" s="84">
        <f>ROUND(IF(SUM(R44:BM44)=0,QLD_RLWPC200,SUMPRODUCT(R44:BM44,QLD_PHHC200)/SUM(R44:BM44)),2)</f>
        <v>34.86</v>
      </c>
      <c r="N41" s="84">
        <f>ROUND(M41/QLD_RLWPC200,2)</f>
        <v>1</v>
      </c>
      <c r="O41" s="81"/>
      <c r="P41" s="30"/>
      <c r="Q41" s="83" t="s">
        <v>65</v>
      </c>
      <c r="R41" s="161"/>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3"/>
      <c r="BN41" s="80"/>
    </row>
    <row r="42" spans="2:66" x14ac:dyDescent="0.25">
      <c r="B42" s="201"/>
      <c r="C42" s="30"/>
      <c r="D42" s="41"/>
      <c r="E42" s="41"/>
      <c r="F42" s="132"/>
      <c r="G42" s="30"/>
      <c r="H42" s="41"/>
      <c r="I42" s="41"/>
      <c r="J42" s="80"/>
      <c r="K42" s="81"/>
      <c r="L42" s="2"/>
      <c r="O42" s="81"/>
      <c r="P42" s="30"/>
      <c r="Q42" s="113" t="s">
        <v>66</v>
      </c>
      <c r="R42" s="114">
        <f>SUM(R30:R31)-SUM(R37:R38)</f>
        <v>0</v>
      </c>
      <c r="S42" s="115">
        <f t="shared" ref="S42:BM42" si="4">SUM(S30:S31)-SUM(S37:S38)</f>
        <v>0</v>
      </c>
      <c r="T42" s="115">
        <f t="shared" si="4"/>
        <v>0</v>
      </c>
      <c r="U42" s="115">
        <f t="shared" si="4"/>
        <v>0</v>
      </c>
      <c r="V42" s="115">
        <f t="shared" si="4"/>
        <v>0</v>
      </c>
      <c r="W42" s="115">
        <f t="shared" si="4"/>
        <v>0</v>
      </c>
      <c r="X42" s="115">
        <f t="shared" si="4"/>
        <v>0</v>
      </c>
      <c r="Y42" s="115">
        <f t="shared" si="4"/>
        <v>0</v>
      </c>
      <c r="Z42" s="115">
        <f t="shared" si="4"/>
        <v>0</v>
      </c>
      <c r="AA42" s="115">
        <f t="shared" si="4"/>
        <v>0</v>
      </c>
      <c r="AB42" s="115">
        <f t="shared" si="4"/>
        <v>0</v>
      </c>
      <c r="AC42" s="115">
        <f t="shared" si="4"/>
        <v>0</v>
      </c>
      <c r="AD42" s="115">
        <f t="shared" si="4"/>
        <v>0</v>
      </c>
      <c r="AE42" s="115">
        <f t="shared" si="4"/>
        <v>0</v>
      </c>
      <c r="AF42" s="115">
        <f t="shared" si="4"/>
        <v>0</v>
      </c>
      <c r="AG42" s="115">
        <f t="shared" si="4"/>
        <v>0</v>
      </c>
      <c r="AH42" s="115">
        <f t="shared" si="4"/>
        <v>0</v>
      </c>
      <c r="AI42" s="115">
        <f t="shared" si="4"/>
        <v>0</v>
      </c>
      <c r="AJ42" s="115">
        <f t="shared" si="4"/>
        <v>0</v>
      </c>
      <c r="AK42" s="115">
        <f t="shared" si="4"/>
        <v>0</v>
      </c>
      <c r="AL42" s="115">
        <f t="shared" si="4"/>
        <v>0</v>
      </c>
      <c r="AM42" s="115">
        <f t="shared" si="4"/>
        <v>0</v>
      </c>
      <c r="AN42" s="115">
        <f t="shared" si="4"/>
        <v>0</v>
      </c>
      <c r="AO42" s="115">
        <f t="shared" si="4"/>
        <v>0</v>
      </c>
      <c r="AP42" s="115">
        <f t="shared" si="4"/>
        <v>0</v>
      </c>
      <c r="AQ42" s="115">
        <f t="shared" si="4"/>
        <v>0</v>
      </c>
      <c r="AR42" s="115">
        <f t="shared" si="4"/>
        <v>0</v>
      </c>
      <c r="AS42" s="115">
        <f t="shared" si="4"/>
        <v>0</v>
      </c>
      <c r="AT42" s="115">
        <f t="shared" si="4"/>
        <v>0</v>
      </c>
      <c r="AU42" s="115">
        <f t="shared" si="4"/>
        <v>0</v>
      </c>
      <c r="AV42" s="115">
        <f t="shared" si="4"/>
        <v>0</v>
      </c>
      <c r="AW42" s="115">
        <f t="shared" si="4"/>
        <v>0</v>
      </c>
      <c r="AX42" s="115">
        <f t="shared" si="4"/>
        <v>0</v>
      </c>
      <c r="AY42" s="115">
        <f t="shared" si="4"/>
        <v>0</v>
      </c>
      <c r="AZ42" s="115">
        <f t="shared" si="4"/>
        <v>0</v>
      </c>
      <c r="BA42" s="115">
        <f t="shared" si="4"/>
        <v>0</v>
      </c>
      <c r="BB42" s="115">
        <f t="shared" si="4"/>
        <v>0</v>
      </c>
      <c r="BC42" s="115">
        <f t="shared" si="4"/>
        <v>0</v>
      </c>
      <c r="BD42" s="115">
        <f t="shared" si="4"/>
        <v>0</v>
      </c>
      <c r="BE42" s="115">
        <f t="shared" si="4"/>
        <v>0</v>
      </c>
      <c r="BF42" s="115">
        <f t="shared" si="4"/>
        <v>0</v>
      </c>
      <c r="BG42" s="115">
        <f t="shared" si="4"/>
        <v>0</v>
      </c>
      <c r="BH42" s="115">
        <f t="shared" si="4"/>
        <v>0</v>
      </c>
      <c r="BI42" s="115">
        <f t="shared" si="4"/>
        <v>0</v>
      </c>
      <c r="BJ42" s="115">
        <f t="shared" si="4"/>
        <v>0</v>
      </c>
      <c r="BK42" s="115">
        <f t="shared" si="4"/>
        <v>0</v>
      </c>
      <c r="BL42" s="115">
        <f t="shared" si="4"/>
        <v>0</v>
      </c>
      <c r="BM42" s="116">
        <f t="shared" si="4"/>
        <v>0</v>
      </c>
      <c r="BN42" s="80"/>
    </row>
    <row r="43" spans="2:66" ht="18.75" x14ac:dyDescent="0.35">
      <c r="B43" s="201"/>
      <c r="C43" s="30"/>
      <c r="D43" s="113" t="s">
        <v>137</v>
      </c>
      <c r="E43" s="156">
        <v>0</v>
      </c>
      <c r="F43" s="132"/>
      <c r="G43" s="30"/>
      <c r="H43" s="83" t="s">
        <v>43</v>
      </c>
      <c r="I43" s="157">
        <v>0</v>
      </c>
      <c r="J43" s="80"/>
      <c r="K43" s="81"/>
      <c r="L43" s="82" t="s">
        <v>78</v>
      </c>
      <c r="M43" s="82" t="s">
        <v>104</v>
      </c>
      <c r="N43" s="82" t="s">
        <v>77</v>
      </c>
      <c r="O43" s="81"/>
      <c r="P43" s="30"/>
      <c r="Q43" s="113" t="s">
        <v>67</v>
      </c>
      <c r="R43" s="114">
        <f>R32-R39</f>
        <v>0</v>
      </c>
      <c r="S43" s="115">
        <f t="shared" ref="S43:BM43" si="5">S32-S39</f>
        <v>0</v>
      </c>
      <c r="T43" s="115">
        <f t="shared" si="5"/>
        <v>0</v>
      </c>
      <c r="U43" s="115">
        <f t="shared" si="5"/>
        <v>0</v>
      </c>
      <c r="V43" s="115">
        <f t="shared" si="5"/>
        <v>0</v>
      </c>
      <c r="W43" s="115">
        <f t="shared" si="5"/>
        <v>0</v>
      </c>
      <c r="X43" s="115">
        <f t="shared" si="5"/>
        <v>0</v>
      </c>
      <c r="Y43" s="115">
        <f t="shared" si="5"/>
        <v>0</v>
      </c>
      <c r="Z43" s="115">
        <f t="shared" si="5"/>
        <v>0</v>
      </c>
      <c r="AA43" s="115">
        <f t="shared" si="5"/>
        <v>0</v>
      </c>
      <c r="AB43" s="115">
        <f t="shared" si="5"/>
        <v>0</v>
      </c>
      <c r="AC43" s="115">
        <f t="shared" si="5"/>
        <v>0</v>
      </c>
      <c r="AD43" s="115">
        <f t="shared" si="5"/>
        <v>0</v>
      </c>
      <c r="AE43" s="115">
        <f t="shared" si="5"/>
        <v>0</v>
      </c>
      <c r="AF43" s="115">
        <f t="shared" si="5"/>
        <v>0</v>
      </c>
      <c r="AG43" s="115">
        <f t="shared" si="5"/>
        <v>0</v>
      </c>
      <c r="AH43" s="115">
        <f t="shared" si="5"/>
        <v>0</v>
      </c>
      <c r="AI43" s="115">
        <f t="shared" si="5"/>
        <v>0</v>
      </c>
      <c r="AJ43" s="115">
        <f t="shared" si="5"/>
        <v>0</v>
      </c>
      <c r="AK43" s="115">
        <f t="shared" si="5"/>
        <v>0</v>
      </c>
      <c r="AL43" s="115">
        <f t="shared" si="5"/>
        <v>0</v>
      </c>
      <c r="AM43" s="115">
        <f t="shared" si="5"/>
        <v>0</v>
      </c>
      <c r="AN43" s="115">
        <f t="shared" si="5"/>
        <v>0</v>
      </c>
      <c r="AO43" s="115">
        <f t="shared" si="5"/>
        <v>0</v>
      </c>
      <c r="AP43" s="115">
        <f t="shared" si="5"/>
        <v>0</v>
      </c>
      <c r="AQ43" s="115">
        <f t="shared" si="5"/>
        <v>0</v>
      </c>
      <c r="AR43" s="115">
        <f t="shared" si="5"/>
        <v>0</v>
      </c>
      <c r="AS43" s="115">
        <f t="shared" si="5"/>
        <v>0</v>
      </c>
      <c r="AT43" s="115">
        <f t="shared" si="5"/>
        <v>0</v>
      </c>
      <c r="AU43" s="115">
        <f t="shared" si="5"/>
        <v>0</v>
      </c>
      <c r="AV43" s="115">
        <f t="shared" si="5"/>
        <v>0</v>
      </c>
      <c r="AW43" s="115">
        <f t="shared" si="5"/>
        <v>0</v>
      </c>
      <c r="AX43" s="115">
        <f t="shared" si="5"/>
        <v>0</v>
      </c>
      <c r="AY43" s="115">
        <f t="shared" si="5"/>
        <v>0</v>
      </c>
      <c r="AZ43" s="115">
        <f t="shared" si="5"/>
        <v>0</v>
      </c>
      <c r="BA43" s="115">
        <f t="shared" si="5"/>
        <v>0</v>
      </c>
      <c r="BB43" s="115">
        <f t="shared" si="5"/>
        <v>0</v>
      </c>
      <c r="BC43" s="115">
        <f t="shared" si="5"/>
        <v>0</v>
      </c>
      <c r="BD43" s="115">
        <f t="shared" si="5"/>
        <v>0</v>
      </c>
      <c r="BE43" s="115">
        <f t="shared" si="5"/>
        <v>0</v>
      </c>
      <c r="BF43" s="115">
        <f t="shared" si="5"/>
        <v>0</v>
      </c>
      <c r="BG43" s="115">
        <f t="shared" si="5"/>
        <v>0</v>
      </c>
      <c r="BH43" s="115">
        <f t="shared" si="5"/>
        <v>0</v>
      </c>
      <c r="BI43" s="115">
        <f t="shared" si="5"/>
        <v>0</v>
      </c>
      <c r="BJ43" s="115">
        <f t="shared" si="5"/>
        <v>0</v>
      </c>
      <c r="BK43" s="115">
        <f t="shared" si="5"/>
        <v>0</v>
      </c>
      <c r="BL43" s="115">
        <f t="shared" si="5"/>
        <v>0</v>
      </c>
      <c r="BM43" s="116">
        <f t="shared" si="5"/>
        <v>0</v>
      </c>
      <c r="BN43" s="80"/>
    </row>
    <row r="44" spans="2:66" ht="18.75" x14ac:dyDescent="0.35">
      <c r="B44" s="201"/>
      <c r="C44" s="30"/>
      <c r="D44" s="113" t="s">
        <v>138</v>
      </c>
      <c r="E44" s="156">
        <v>0</v>
      </c>
      <c r="F44" s="132"/>
      <c r="G44" s="30"/>
      <c r="H44" s="83" t="s">
        <v>44</v>
      </c>
      <c r="I44" s="157">
        <v>0</v>
      </c>
      <c r="J44" s="80"/>
      <c r="K44" s="81"/>
      <c r="L44" s="175">
        <f>ROUND(MAX(N44,N44^2),2)</f>
        <v>1</v>
      </c>
      <c r="M44" s="84">
        <f>ROUND(IF(SUM(R45:BM45)=0,QLD_RLWPC300,SUMPRODUCT(R45:BM45,QLD_PHHC300)/SUM(R45:BM45)),2)</f>
        <v>36.24</v>
      </c>
      <c r="N44" s="84">
        <f>ROUND(M44/QLD_RLWPC300,2)</f>
        <v>1</v>
      </c>
      <c r="O44" s="81"/>
      <c r="P44" s="30"/>
      <c r="Q44" s="113" t="s">
        <v>83</v>
      </c>
      <c r="R44" s="114">
        <f t="shared" ref="R44:BM44" si="6">R33-R40</f>
        <v>0</v>
      </c>
      <c r="S44" s="115">
        <f t="shared" si="6"/>
        <v>0</v>
      </c>
      <c r="T44" s="115">
        <f t="shared" si="6"/>
        <v>0</v>
      </c>
      <c r="U44" s="115">
        <f t="shared" si="6"/>
        <v>0</v>
      </c>
      <c r="V44" s="115">
        <f t="shared" si="6"/>
        <v>0</v>
      </c>
      <c r="W44" s="115">
        <f t="shared" si="6"/>
        <v>0</v>
      </c>
      <c r="X44" s="115">
        <f t="shared" si="6"/>
        <v>0</v>
      </c>
      <c r="Y44" s="115">
        <f t="shared" si="6"/>
        <v>0</v>
      </c>
      <c r="Z44" s="115">
        <f t="shared" si="6"/>
        <v>0</v>
      </c>
      <c r="AA44" s="115">
        <f t="shared" si="6"/>
        <v>0</v>
      </c>
      <c r="AB44" s="115">
        <f t="shared" si="6"/>
        <v>0</v>
      </c>
      <c r="AC44" s="115">
        <f t="shared" si="6"/>
        <v>0</v>
      </c>
      <c r="AD44" s="115">
        <f t="shared" si="6"/>
        <v>0</v>
      </c>
      <c r="AE44" s="115">
        <f t="shared" si="6"/>
        <v>0</v>
      </c>
      <c r="AF44" s="115">
        <f t="shared" si="6"/>
        <v>0</v>
      </c>
      <c r="AG44" s="115">
        <f t="shared" si="6"/>
        <v>0</v>
      </c>
      <c r="AH44" s="115">
        <f t="shared" si="6"/>
        <v>0</v>
      </c>
      <c r="AI44" s="115">
        <f t="shared" si="6"/>
        <v>0</v>
      </c>
      <c r="AJ44" s="115">
        <f t="shared" si="6"/>
        <v>0</v>
      </c>
      <c r="AK44" s="115">
        <f t="shared" si="6"/>
        <v>0</v>
      </c>
      <c r="AL44" s="115">
        <f t="shared" si="6"/>
        <v>0</v>
      </c>
      <c r="AM44" s="115">
        <f t="shared" si="6"/>
        <v>0</v>
      </c>
      <c r="AN44" s="115">
        <f t="shared" si="6"/>
        <v>0</v>
      </c>
      <c r="AO44" s="115">
        <f t="shared" si="6"/>
        <v>0</v>
      </c>
      <c r="AP44" s="115">
        <f t="shared" si="6"/>
        <v>0</v>
      </c>
      <c r="AQ44" s="115">
        <f t="shared" si="6"/>
        <v>0</v>
      </c>
      <c r="AR44" s="115">
        <f t="shared" si="6"/>
        <v>0</v>
      </c>
      <c r="AS44" s="115">
        <f t="shared" si="6"/>
        <v>0</v>
      </c>
      <c r="AT44" s="115">
        <f t="shared" si="6"/>
        <v>0</v>
      </c>
      <c r="AU44" s="115">
        <f t="shared" si="6"/>
        <v>0</v>
      </c>
      <c r="AV44" s="115">
        <f t="shared" si="6"/>
        <v>0</v>
      </c>
      <c r="AW44" s="115">
        <f t="shared" si="6"/>
        <v>0</v>
      </c>
      <c r="AX44" s="115">
        <f t="shared" si="6"/>
        <v>0</v>
      </c>
      <c r="AY44" s="115">
        <f t="shared" si="6"/>
        <v>0</v>
      </c>
      <c r="AZ44" s="115">
        <f t="shared" si="6"/>
        <v>0</v>
      </c>
      <c r="BA44" s="115">
        <f t="shared" si="6"/>
        <v>0</v>
      </c>
      <c r="BB44" s="115">
        <f t="shared" si="6"/>
        <v>0</v>
      </c>
      <c r="BC44" s="115">
        <f t="shared" si="6"/>
        <v>0</v>
      </c>
      <c r="BD44" s="115">
        <f t="shared" si="6"/>
        <v>0</v>
      </c>
      <c r="BE44" s="115">
        <f t="shared" si="6"/>
        <v>0</v>
      </c>
      <c r="BF44" s="115">
        <f t="shared" si="6"/>
        <v>0</v>
      </c>
      <c r="BG44" s="115">
        <f t="shared" si="6"/>
        <v>0</v>
      </c>
      <c r="BH44" s="115">
        <f t="shared" si="6"/>
        <v>0</v>
      </c>
      <c r="BI44" s="115">
        <f t="shared" si="6"/>
        <v>0</v>
      </c>
      <c r="BJ44" s="115">
        <f t="shared" si="6"/>
        <v>0</v>
      </c>
      <c r="BK44" s="115">
        <f t="shared" si="6"/>
        <v>0</v>
      </c>
      <c r="BL44" s="115">
        <f t="shared" si="6"/>
        <v>0</v>
      </c>
      <c r="BM44" s="116">
        <f t="shared" si="6"/>
        <v>0</v>
      </c>
      <c r="BN44" s="80"/>
    </row>
    <row r="45" spans="2:66" x14ac:dyDescent="0.25">
      <c r="B45" s="201"/>
      <c r="C45" s="30"/>
      <c r="D45" s="41"/>
      <c r="E45" s="41"/>
      <c r="F45" s="132"/>
      <c r="G45" s="30"/>
      <c r="H45" s="41"/>
      <c r="I45" s="41"/>
      <c r="J45" s="80"/>
      <c r="K45" s="81"/>
      <c r="L45" s="2"/>
      <c r="O45" s="81"/>
      <c r="P45" s="30"/>
      <c r="Q45" s="113" t="s">
        <v>84</v>
      </c>
      <c r="R45" s="117">
        <f>R34-R41</f>
        <v>0</v>
      </c>
      <c r="S45" s="118">
        <f t="shared" ref="S45:BM45" si="7">S34-S41</f>
        <v>0</v>
      </c>
      <c r="T45" s="118">
        <f t="shared" si="7"/>
        <v>0</v>
      </c>
      <c r="U45" s="118">
        <f t="shared" si="7"/>
        <v>0</v>
      </c>
      <c r="V45" s="118">
        <f t="shared" si="7"/>
        <v>0</v>
      </c>
      <c r="W45" s="118">
        <f t="shared" si="7"/>
        <v>0</v>
      </c>
      <c r="X45" s="118">
        <f t="shared" si="7"/>
        <v>0</v>
      </c>
      <c r="Y45" s="118">
        <f t="shared" si="7"/>
        <v>0</v>
      </c>
      <c r="Z45" s="118">
        <f t="shared" si="7"/>
        <v>0</v>
      </c>
      <c r="AA45" s="118">
        <f t="shared" si="7"/>
        <v>0</v>
      </c>
      <c r="AB45" s="118">
        <f t="shared" si="7"/>
        <v>0</v>
      </c>
      <c r="AC45" s="118">
        <f t="shared" si="7"/>
        <v>0</v>
      </c>
      <c r="AD45" s="118">
        <f t="shared" si="7"/>
        <v>0</v>
      </c>
      <c r="AE45" s="118">
        <f t="shared" si="7"/>
        <v>0</v>
      </c>
      <c r="AF45" s="118">
        <f t="shared" si="7"/>
        <v>0</v>
      </c>
      <c r="AG45" s="118">
        <f t="shared" si="7"/>
        <v>0</v>
      </c>
      <c r="AH45" s="118">
        <f t="shared" si="7"/>
        <v>0</v>
      </c>
      <c r="AI45" s="118">
        <f t="shared" si="7"/>
        <v>0</v>
      </c>
      <c r="AJ45" s="118">
        <f t="shared" si="7"/>
        <v>0</v>
      </c>
      <c r="AK45" s="118">
        <f t="shared" si="7"/>
        <v>0</v>
      </c>
      <c r="AL45" s="118">
        <f t="shared" si="7"/>
        <v>0</v>
      </c>
      <c r="AM45" s="118">
        <f t="shared" si="7"/>
        <v>0</v>
      </c>
      <c r="AN45" s="118">
        <f t="shared" si="7"/>
        <v>0</v>
      </c>
      <c r="AO45" s="118">
        <f t="shared" si="7"/>
        <v>0</v>
      </c>
      <c r="AP45" s="118">
        <f t="shared" si="7"/>
        <v>0</v>
      </c>
      <c r="AQ45" s="118">
        <f t="shared" si="7"/>
        <v>0</v>
      </c>
      <c r="AR45" s="118">
        <f t="shared" si="7"/>
        <v>0</v>
      </c>
      <c r="AS45" s="118">
        <f t="shared" si="7"/>
        <v>0</v>
      </c>
      <c r="AT45" s="118">
        <f t="shared" si="7"/>
        <v>0</v>
      </c>
      <c r="AU45" s="118">
        <f t="shared" si="7"/>
        <v>0</v>
      </c>
      <c r="AV45" s="118">
        <f t="shared" si="7"/>
        <v>0</v>
      </c>
      <c r="AW45" s="118">
        <f t="shared" si="7"/>
        <v>0</v>
      </c>
      <c r="AX45" s="118">
        <f t="shared" si="7"/>
        <v>0</v>
      </c>
      <c r="AY45" s="118">
        <f t="shared" si="7"/>
        <v>0</v>
      </c>
      <c r="AZ45" s="118">
        <f t="shared" si="7"/>
        <v>0</v>
      </c>
      <c r="BA45" s="118">
        <f t="shared" si="7"/>
        <v>0</v>
      </c>
      <c r="BB45" s="118">
        <f t="shared" si="7"/>
        <v>0</v>
      </c>
      <c r="BC45" s="118">
        <f t="shared" si="7"/>
        <v>0</v>
      </c>
      <c r="BD45" s="118">
        <f t="shared" si="7"/>
        <v>0</v>
      </c>
      <c r="BE45" s="118">
        <f t="shared" si="7"/>
        <v>0</v>
      </c>
      <c r="BF45" s="118">
        <f t="shared" si="7"/>
        <v>0</v>
      </c>
      <c r="BG45" s="118">
        <f t="shared" si="7"/>
        <v>0</v>
      </c>
      <c r="BH45" s="118">
        <f t="shared" si="7"/>
        <v>0</v>
      </c>
      <c r="BI45" s="118">
        <f t="shared" si="7"/>
        <v>0</v>
      </c>
      <c r="BJ45" s="118">
        <f t="shared" si="7"/>
        <v>0</v>
      </c>
      <c r="BK45" s="118">
        <f t="shared" si="7"/>
        <v>0</v>
      </c>
      <c r="BL45" s="118">
        <f t="shared" si="7"/>
        <v>0</v>
      </c>
      <c r="BM45" s="119">
        <f t="shared" si="7"/>
        <v>0</v>
      </c>
      <c r="BN45" s="80"/>
    </row>
    <row r="46" spans="2:66" ht="5.25" customHeight="1" x14ac:dyDescent="0.25">
      <c r="B46" s="202"/>
      <c r="C46" s="130"/>
      <c r="D46" s="55"/>
      <c r="E46" s="55"/>
      <c r="F46" s="78"/>
      <c r="G46" s="72"/>
      <c r="H46" s="73"/>
      <c r="I46" s="73"/>
      <c r="J46" s="87"/>
      <c r="K46" s="86"/>
      <c r="L46" s="121"/>
      <c r="M46" s="86"/>
      <c r="N46" s="86"/>
      <c r="O46" s="86"/>
      <c r="P46" s="72"/>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7"/>
    </row>
    <row r="47" spans="2:66" ht="5.25" customHeight="1" x14ac:dyDescent="0.5">
      <c r="B47" s="200" t="s">
        <v>2</v>
      </c>
      <c r="C47" s="129"/>
      <c r="D47" s="133"/>
      <c r="E47" s="133"/>
      <c r="F47" s="131"/>
      <c r="G47" s="68"/>
      <c r="H47" s="125"/>
      <c r="I47" s="69"/>
      <c r="J47" s="38"/>
      <c r="K47" s="37"/>
      <c r="L47" s="36"/>
      <c r="M47" s="37"/>
      <c r="N47" s="37"/>
      <c r="O47" s="37"/>
      <c r="P47" s="126"/>
      <c r="Q47" s="127"/>
      <c r="R47" s="37"/>
      <c r="S47" s="37"/>
      <c r="T47" s="37"/>
      <c r="U47" s="128"/>
      <c r="V47" s="37"/>
      <c r="W47" s="37"/>
      <c r="X47" s="37"/>
      <c r="Y47" s="128"/>
      <c r="Z47" s="37"/>
      <c r="AA47" s="37"/>
      <c r="AB47" s="37"/>
      <c r="AC47" s="128"/>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8"/>
    </row>
    <row r="48" spans="2:66" ht="16.5" customHeight="1" x14ac:dyDescent="0.25">
      <c r="B48" s="201"/>
      <c r="C48" s="30"/>
      <c r="D48" s="41"/>
      <c r="E48" s="41"/>
      <c r="F48" s="132"/>
      <c r="G48" s="30"/>
      <c r="H48" s="70" t="s">
        <v>11</v>
      </c>
      <c r="I48" s="71"/>
      <c r="J48" s="80"/>
      <c r="K48" s="81"/>
      <c r="L48" s="2"/>
      <c r="O48" s="81"/>
      <c r="P48" s="75"/>
      <c r="Q48" s="74" t="s">
        <v>75</v>
      </c>
      <c r="R48" s="88">
        <v>1</v>
      </c>
      <c r="S48" s="88">
        <v>2</v>
      </c>
      <c r="T48" s="88">
        <v>3</v>
      </c>
      <c r="U48" s="88">
        <v>4</v>
      </c>
      <c r="V48" s="88">
        <v>5</v>
      </c>
      <c r="W48" s="88">
        <v>6</v>
      </c>
      <c r="X48" s="88">
        <v>7</v>
      </c>
      <c r="Y48" s="88">
        <v>8</v>
      </c>
      <c r="Z48" s="88">
        <v>9</v>
      </c>
      <c r="AA48" s="88">
        <v>10</v>
      </c>
      <c r="AB48" s="88">
        <v>11</v>
      </c>
      <c r="AC48" s="88">
        <v>12</v>
      </c>
      <c r="AD48" s="88">
        <v>13</v>
      </c>
      <c r="AE48" s="88">
        <v>14</v>
      </c>
      <c r="AF48" s="88">
        <v>15</v>
      </c>
      <c r="AG48" s="88">
        <v>16</v>
      </c>
      <c r="AH48" s="88">
        <v>17</v>
      </c>
      <c r="AI48" s="88">
        <v>18</v>
      </c>
      <c r="AJ48" s="88">
        <v>19</v>
      </c>
      <c r="AK48" s="88">
        <v>20</v>
      </c>
      <c r="AL48" s="88">
        <v>21</v>
      </c>
      <c r="AM48" s="88">
        <v>22</v>
      </c>
      <c r="AN48" s="88">
        <v>23</v>
      </c>
      <c r="AO48" s="88">
        <v>24</v>
      </c>
      <c r="AP48" s="88">
        <v>25</v>
      </c>
      <c r="AQ48" s="88">
        <v>26</v>
      </c>
      <c r="AR48" s="88">
        <v>27</v>
      </c>
      <c r="AS48" s="88">
        <v>28</v>
      </c>
      <c r="AT48" s="88">
        <v>29</v>
      </c>
      <c r="AU48" s="88">
        <v>30</v>
      </c>
      <c r="AV48" s="88">
        <v>31</v>
      </c>
      <c r="AW48" s="88">
        <v>32</v>
      </c>
      <c r="AX48" s="88">
        <v>33</v>
      </c>
      <c r="AY48" s="88">
        <v>34</v>
      </c>
      <c r="AZ48" s="88">
        <v>35</v>
      </c>
      <c r="BA48" s="88">
        <v>36</v>
      </c>
      <c r="BB48" s="88">
        <v>37</v>
      </c>
      <c r="BC48" s="88">
        <v>38</v>
      </c>
      <c r="BD48" s="88">
        <v>39</v>
      </c>
      <c r="BE48" s="88">
        <v>40</v>
      </c>
      <c r="BF48" s="88">
        <v>41</v>
      </c>
      <c r="BG48" s="88">
        <v>42</v>
      </c>
      <c r="BH48" s="88">
        <v>43</v>
      </c>
      <c r="BI48" s="88">
        <v>44</v>
      </c>
      <c r="BJ48" s="88">
        <v>45</v>
      </c>
      <c r="BK48" s="88">
        <v>46</v>
      </c>
      <c r="BL48" s="88">
        <v>47</v>
      </c>
      <c r="BM48" s="88">
        <v>48</v>
      </c>
      <c r="BN48" s="80"/>
    </row>
    <row r="49" spans="2:66" ht="18.75" x14ac:dyDescent="0.35">
      <c r="B49" s="201"/>
      <c r="C49" s="30"/>
      <c r="D49" s="41"/>
      <c r="E49" s="41"/>
      <c r="F49" s="132" t="s">
        <v>130</v>
      </c>
      <c r="G49" s="30"/>
      <c r="H49" s="83" t="s">
        <v>29</v>
      </c>
      <c r="I49" s="157"/>
      <c r="J49" s="80"/>
      <c r="K49" s="81"/>
      <c r="L49" s="82" t="s">
        <v>51</v>
      </c>
      <c r="M49" s="82" t="s">
        <v>99</v>
      </c>
      <c r="N49" s="82" t="s">
        <v>68</v>
      </c>
      <c r="O49" s="81"/>
      <c r="P49" s="30"/>
      <c r="Q49" s="83" t="s">
        <v>35</v>
      </c>
      <c r="R49" s="158"/>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60"/>
      <c r="BN49" s="80"/>
    </row>
    <row r="50" spans="2:66" ht="18.75" x14ac:dyDescent="0.35">
      <c r="B50" s="201"/>
      <c r="C50" s="30"/>
      <c r="D50" s="41"/>
      <c r="E50" s="41"/>
      <c r="F50" s="132"/>
      <c r="G50" s="30"/>
      <c r="H50" s="77"/>
      <c r="I50" s="77"/>
      <c r="J50" s="80"/>
      <c r="K50" s="81"/>
      <c r="L50" s="175">
        <f>ROUND(IF(SUM(R49:BM49)=0,1.05,MAX(N50,N50^2)),2)</f>
        <v>1.05</v>
      </c>
      <c r="M50" s="84">
        <f>ROUND(IF(SUM(R49:BM49)=0,SA_RLWP,SUMPRODUCT(R49:BM49,SA_PHH)/SUM(R50:BM50)),2)</f>
        <v>46.77</v>
      </c>
      <c r="N50" s="84">
        <f>ROUND(M50/SA_RLWP,2)</f>
        <v>1</v>
      </c>
      <c r="O50" s="81"/>
      <c r="P50" s="30"/>
      <c r="Q50" s="83" t="s">
        <v>36</v>
      </c>
      <c r="R50" s="161"/>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3"/>
      <c r="BN50" s="80"/>
    </row>
    <row r="51" spans="2:66" ht="18.75" x14ac:dyDescent="0.35">
      <c r="B51" s="201"/>
      <c r="C51" s="30"/>
      <c r="D51" s="41"/>
      <c r="E51" s="41"/>
      <c r="F51" s="132" t="s">
        <v>5</v>
      </c>
      <c r="G51" s="30"/>
      <c r="H51" s="83" t="s">
        <v>30</v>
      </c>
      <c r="I51" s="157"/>
      <c r="J51" s="80"/>
      <c r="K51" s="81"/>
      <c r="L51" s="46"/>
      <c r="M51" s="85"/>
      <c r="N51" s="85"/>
      <c r="O51" s="81"/>
      <c r="P51" s="30"/>
      <c r="Q51" s="83" t="s">
        <v>39</v>
      </c>
      <c r="R51" s="161"/>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3"/>
      <c r="BN51" s="80"/>
    </row>
    <row r="52" spans="2:66" ht="18.75" x14ac:dyDescent="0.35">
      <c r="B52" s="201"/>
      <c r="C52" s="30"/>
      <c r="D52" s="41"/>
      <c r="E52" s="41"/>
      <c r="F52" s="132" t="s">
        <v>6</v>
      </c>
      <c r="G52" s="30"/>
      <c r="H52" s="83" t="s">
        <v>31</v>
      </c>
      <c r="I52" s="157"/>
      <c r="J52" s="80"/>
      <c r="K52" s="81"/>
      <c r="L52" s="82" t="s">
        <v>52</v>
      </c>
      <c r="M52" s="82" t="s">
        <v>100</v>
      </c>
      <c r="N52" s="82" t="s">
        <v>69</v>
      </c>
      <c r="O52" s="81"/>
      <c r="P52" s="30"/>
      <c r="Q52" s="83" t="s">
        <v>40</v>
      </c>
      <c r="R52" s="161"/>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3"/>
      <c r="BN52" s="80"/>
    </row>
    <row r="53" spans="2:66" ht="18.75" x14ac:dyDescent="0.35">
      <c r="B53" s="201"/>
      <c r="C53" s="30"/>
      <c r="D53" s="41"/>
      <c r="E53" s="41"/>
      <c r="F53" s="132" t="s">
        <v>7</v>
      </c>
      <c r="G53" s="30"/>
      <c r="H53" s="83" t="s">
        <v>54</v>
      </c>
      <c r="I53" s="157"/>
      <c r="J53" s="80"/>
      <c r="K53" s="81"/>
      <c r="L53" s="175">
        <f>ROUND(IF(SUM(R56:BM56)=0,0.95,MAX(N53,N53^2)),2)</f>
        <v>0.95</v>
      </c>
      <c r="M53" s="84">
        <f>ROUND(IF(SUM(R56:BM56)=0,SA_RLWP,SUMPRODUCT(R56:BM56,SA_PHH)/SUM(R57:BM57)),2)</f>
        <v>46.77</v>
      </c>
      <c r="N53" s="84">
        <f>ROUND(M53/SA_RLWP,2)</f>
        <v>1</v>
      </c>
      <c r="O53" s="81"/>
      <c r="P53" s="30"/>
      <c r="Q53" s="83" t="s">
        <v>60</v>
      </c>
      <c r="R53" s="161"/>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3"/>
      <c r="BN53" s="80"/>
    </row>
    <row r="54" spans="2:66" ht="18.75" x14ac:dyDescent="0.35">
      <c r="B54" s="201"/>
      <c r="C54" s="30"/>
      <c r="D54" s="41"/>
      <c r="E54" s="41"/>
      <c r="F54" s="132"/>
      <c r="G54" s="30"/>
      <c r="H54" s="83" t="s">
        <v>55</v>
      </c>
      <c r="I54" s="157"/>
      <c r="J54" s="80"/>
      <c r="K54" s="81"/>
      <c r="L54" s="46"/>
      <c r="M54" s="85"/>
      <c r="N54" s="85"/>
      <c r="O54" s="81"/>
      <c r="P54" s="30"/>
      <c r="Q54" s="83" t="s">
        <v>61</v>
      </c>
      <c r="R54" s="161"/>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3"/>
      <c r="BN54" s="80"/>
    </row>
    <row r="55" spans="2:66" ht="18.75" x14ac:dyDescent="0.35">
      <c r="B55" s="201"/>
      <c r="C55" s="30"/>
      <c r="D55" s="41"/>
      <c r="E55" s="41"/>
      <c r="F55" s="132"/>
      <c r="G55" s="30"/>
      <c r="H55" s="83" t="s">
        <v>56</v>
      </c>
      <c r="I55" s="157"/>
      <c r="J55" s="80"/>
      <c r="K55" s="81"/>
      <c r="L55" s="82" t="s">
        <v>53</v>
      </c>
      <c r="M55" s="82" t="s">
        <v>101</v>
      </c>
      <c r="N55" s="82" t="s">
        <v>76</v>
      </c>
      <c r="O55" s="81"/>
      <c r="P55" s="30"/>
      <c r="Q55" s="83" t="s">
        <v>62</v>
      </c>
      <c r="R55" s="161"/>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3"/>
      <c r="BN55" s="80"/>
    </row>
    <row r="56" spans="2:66" ht="18.75" x14ac:dyDescent="0.35">
      <c r="B56" s="201"/>
      <c r="C56" s="30"/>
      <c r="D56" s="41"/>
      <c r="E56" s="41"/>
      <c r="F56" s="132" t="s">
        <v>131</v>
      </c>
      <c r="G56" s="30"/>
      <c r="H56" s="83" t="s">
        <v>32</v>
      </c>
      <c r="I56" s="157"/>
      <c r="J56" s="80"/>
      <c r="K56" s="81"/>
      <c r="L56" s="175">
        <f>ROUND(MAX(N56,N56^2),2)</f>
        <v>1</v>
      </c>
      <c r="M56" s="84">
        <f>ROUND(IF(SUM(R63:BM63)=0,SA_RLWP,SUMPRODUCT(R63:BM63,SA_PHH)/SUM(R63:BM63)),2)</f>
        <v>46.77</v>
      </c>
      <c r="N56" s="84">
        <f>ROUND(M56/SA_RLWP,2)</f>
        <v>1</v>
      </c>
      <c r="O56" s="81"/>
      <c r="P56" s="30"/>
      <c r="Q56" s="83" t="s">
        <v>37</v>
      </c>
      <c r="R56" s="161"/>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3"/>
      <c r="BN56" s="80"/>
    </row>
    <row r="57" spans="2:66" ht="18.75" x14ac:dyDescent="0.35">
      <c r="B57" s="201"/>
      <c r="C57" s="30"/>
      <c r="D57" s="41"/>
      <c r="E57" s="41"/>
      <c r="F57" s="132"/>
      <c r="G57" s="30"/>
      <c r="H57" s="77"/>
      <c r="I57" s="77"/>
      <c r="J57" s="80"/>
      <c r="K57" s="81"/>
      <c r="L57" s="46"/>
      <c r="M57" s="85"/>
      <c r="N57" s="85"/>
      <c r="O57" s="81"/>
      <c r="P57" s="30"/>
      <c r="Q57" s="83" t="s">
        <v>38</v>
      </c>
      <c r="R57" s="161"/>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3"/>
      <c r="BN57" s="80"/>
    </row>
    <row r="58" spans="2:66" ht="18.75" x14ac:dyDescent="0.35">
      <c r="B58" s="201"/>
      <c r="C58" s="30"/>
      <c r="D58" s="41"/>
      <c r="E58" s="41"/>
      <c r="F58" s="132" t="s">
        <v>8</v>
      </c>
      <c r="G58" s="30"/>
      <c r="H58" s="83" t="s">
        <v>33</v>
      </c>
      <c r="I58" s="157"/>
      <c r="J58" s="80"/>
      <c r="K58" s="81"/>
      <c r="L58" s="82" t="s">
        <v>82</v>
      </c>
      <c r="M58" s="82" t="s">
        <v>102</v>
      </c>
      <c r="N58" s="82" t="s">
        <v>80</v>
      </c>
      <c r="O58" s="81"/>
      <c r="P58" s="30"/>
      <c r="Q58" s="83" t="s">
        <v>41</v>
      </c>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3"/>
      <c r="BN58" s="80"/>
    </row>
    <row r="59" spans="2:66" ht="18.75" x14ac:dyDescent="0.35">
      <c r="B59" s="201"/>
      <c r="C59" s="30"/>
      <c r="D59" s="41"/>
      <c r="E59" s="41"/>
      <c r="F59" s="132" t="s">
        <v>9</v>
      </c>
      <c r="G59" s="30"/>
      <c r="H59" s="83" t="s">
        <v>34</v>
      </c>
      <c r="I59" s="157"/>
      <c r="J59" s="80"/>
      <c r="K59" s="81"/>
      <c r="L59" s="175">
        <f>ROUND(MAX(N59,N59^2),2)</f>
        <v>1</v>
      </c>
      <c r="M59" s="84">
        <f>ROUND(IF(SUM(R64:BM64)=0,SA_RLWPC100,SUMPRODUCT(R64:BM64,SA_PHHC100)/SUM(R64:BM64)),2)</f>
        <v>32.36</v>
      </c>
      <c r="N59" s="84">
        <f>ROUND(M59/SA_RLWPC100,2)</f>
        <v>1</v>
      </c>
      <c r="O59" s="81"/>
      <c r="P59" s="30"/>
      <c r="Q59" s="83" t="s">
        <v>42</v>
      </c>
      <c r="R59" s="161"/>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3"/>
      <c r="BN59" s="80"/>
    </row>
    <row r="60" spans="2:66" ht="18.75" x14ac:dyDescent="0.35">
      <c r="B60" s="201"/>
      <c r="C60" s="30"/>
      <c r="D60" s="41"/>
      <c r="E60" s="41"/>
      <c r="F60" s="132" t="s">
        <v>10</v>
      </c>
      <c r="G60" s="30"/>
      <c r="H60" s="83" t="s">
        <v>57</v>
      </c>
      <c r="I60" s="157"/>
      <c r="J60" s="80"/>
      <c r="K60" s="81"/>
      <c r="L60" s="2"/>
      <c r="O60" s="81"/>
      <c r="P60" s="30"/>
      <c r="Q60" s="83" t="s">
        <v>63</v>
      </c>
      <c r="R60" s="161"/>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3"/>
      <c r="BN60" s="80"/>
    </row>
    <row r="61" spans="2:66" ht="18.75" x14ac:dyDescent="0.35">
      <c r="B61" s="201"/>
      <c r="C61" s="30"/>
      <c r="D61" s="41"/>
      <c r="E61" s="41"/>
      <c r="F61" s="132"/>
      <c r="G61" s="30"/>
      <c r="H61" s="83" t="s">
        <v>58</v>
      </c>
      <c r="I61" s="157"/>
      <c r="J61" s="80"/>
      <c r="K61" s="81"/>
      <c r="L61" s="82" t="s">
        <v>79</v>
      </c>
      <c r="M61" s="82" t="s">
        <v>103</v>
      </c>
      <c r="N61" s="82" t="s">
        <v>81</v>
      </c>
      <c r="O61" s="81"/>
      <c r="P61" s="30"/>
      <c r="Q61" s="83" t="s">
        <v>64</v>
      </c>
      <c r="R61" s="161"/>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3"/>
      <c r="BN61" s="80"/>
    </row>
    <row r="62" spans="2:66" ht="18.75" x14ac:dyDescent="0.35">
      <c r="B62" s="201"/>
      <c r="C62" s="30"/>
      <c r="D62" s="41"/>
      <c r="E62" s="41"/>
      <c r="F62" s="132"/>
      <c r="G62" s="30"/>
      <c r="H62" s="83" t="s">
        <v>59</v>
      </c>
      <c r="I62" s="157"/>
      <c r="J62" s="80"/>
      <c r="K62" s="81"/>
      <c r="L62" s="175">
        <f>ROUND(MAX(N62,N62^2),2)</f>
        <v>1</v>
      </c>
      <c r="M62" s="84">
        <f>ROUND(IF(SUM(R65:BM65)=0,SA_RLWPC200,SUMPRODUCT(R65:BM65,SA_PHHC200)/SUM(R65:BM65)),2)</f>
        <v>34.229999999999997</v>
      </c>
      <c r="N62" s="84">
        <f>ROUND(M62/SA_RLWPC200,2)</f>
        <v>1</v>
      </c>
      <c r="O62" s="81"/>
      <c r="P62" s="30"/>
      <c r="Q62" s="83" t="s">
        <v>65</v>
      </c>
      <c r="R62" s="161"/>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3"/>
      <c r="BN62" s="80"/>
    </row>
    <row r="63" spans="2:66" x14ac:dyDescent="0.25">
      <c r="B63" s="201"/>
      <c r="C63" s="30"/>
      <c r="D63" s="41"/>
      <c r="E63" s="41"/>
      <c r="F63" s="132"/>
      <c r="G63" s="30"/>
      <c r="H63" s="41"/>
      <c r="I63" s="41"/>
      <c r="J63" s="80"/>
      <c r="K63" s="81"/>
      <c r="L63" s="2"/>
      <c r="O63" s="81"/>
      <c r="P63" s="30"/>
      <c r="Q63" s="113" t="s">
        <v>66</v>
      </c>
      <c r="R63" s="114">
        <f>SUM(R51:R52)-SUM(R58:R59)</f>
        <v>0</v>
      </c>
      <c r="S63" s="115">
        <f t="shared" ref="S63:BM63" si="8">SUM(S51:S52)-SUM(S58:S59)</f>
        <v>0</v>
      </c>
      <c r="T63" s="115">
        <f t="shared" si="8"/>
        <v>0</v>
      </c>
      <c r="U63" s="115">
        <f t="shared" si="8"/>
        <v>0</v>
      </c>
      <c r="V63" s="115">
        <f t="shared" si="8"/>
        <v>0</v>
      </c>
      <c r="W63" s="115">
        <f t="shared" si="8"/>
        <v>0</v>
      </c>
      <c r="X63" s="115">
        <f t="shared" si="8"/>
        <v>0</v>
      </c>
      <c r="Y63" s="115">
        <f t="shared" si="8"/>
        <v>0</v>
      </c>
      <c r="Z63" s="115">
        <f t="shared" si="8"/>
        <v>0</v>
      </c>
      <c r="AA63" s="115">
        <f t="shared" si="8"/>
        <v>0</v>
      </c>
      <c r="AB63" s="115">
        <f t="shared" si="8"/>
        <v>0</v>
      </c>
      <c r="AC63" s="115">
        <f t="shared" si="8"/>
        <v>0</v>
      </c>
      <c r="AD63" s="115">
        <f t="shared" si="8"/>
        <v>0</v>
      </c>
      <c r="AE63" s="115">
        <f t="shared" si="8"/>
        <v>0</v>
      </c>
      <c r="AF63" s="115">
        <f t="shared" si="8"/>
        <v>0</v>
      </c>
      <c r="AG63" s="115">
        <f t="shared" si="8"/>
        <v>0</v>
      </c>
      <c r="AH63" s="115">
        <f t="shared" si="8"/>
        <v>0</v>
      </c>
      <c r="AI63" s="115">
        <f t="shared" si="8"/>
        <v>0</v>
      </c>
      <c r="AJ63" s="115">
        <f t="shared" si="8"/>
        <v>0</v>
      </c>
      <c r="AK63" s="115">
        <f t="shared" si="8"/>
        <v>0</v>
      </c>
      <c r="AL63" s="115">
        <f t="shared" si="8"/>
        <v>0</v>
      </c>
      <c r="AM63" s="115">
        <f t="shared" si="8"/>
        <v>0</v>
      </c>
      <c r="AN63" s="115">
        <f t="shared" si="8"/>
        <v>0</v>
      </c>
      <c r="AO63" s="115">
        <f t="shared" si="8"/>
        <v>0</v>
      </c>
      <c r="AP63" s="115">
        <f t="shared" si="8"/>
        <v>0</v>
      </c>
      <c r="AQ63" s="115">
        <f t="shared" si="8"/>
        <v>0</v>
      </c>
      <c r="AR63" s="115">
        <f t="shared" si="8"/>
        <v>0</v>
      </c>
      <c r="AS63" s="115">
        <f t="shared" si="8"/>
        <v>0</v>
      </c>
      <c r="AT63" s="115">
        <f t="shared" si="8"/>
        <v>0</v>
      </c>
      <c r="AU63" s="115">
        <f t="shared" si="8"/>
        <v>0</v>
      </c>
      <c r="AV63" s="115">
        <f t="shared" si="8"/>
        <v>0</v>
      </c>
      <c r="AW63" s="115">
        <f t="shared" si="8"/>
        <v>0</v>
      </c>
      <c r="AX63" s="115">
        <f t="shared" si="8"/>
        <v>0</v>
      </c>
      <c r="AY63" s="115">
        <f t="shared" si="8"/>
        <v>0</v>
      </c>
      <c r="AZ63" s="115">
        <f t="shared" si="8"/>
        <v>0</v>
      </c>
      <c r="BA63" s="115">
        <f t="shared" si="8"/>
        <v>0</v>
      </c>
      <c r="BB63" s="115">
        <f t="shared" si="8"/>
        <v>0</v>
      </c>
      <c r="BC63" s="115">
        <f t="shared" si="8"/>
        <v>0</v>
      </c>
      <c r="BD63" s="115">
        <f t="shared" si="8"/>
        <v>0</v>
      </c>
      <c r="BE63" s="115">
        <f t="shared" si="8"/>
        <v>0</v>
      </c>
      <c r="BF63" s="115">
        <f t="shared" si="8"/>
        <v>0</v>
      </c>
      <c r="BG63" s="115">
        <f t="shared" si="8"/>
        <v>0</v>
      </c>
      <c r="BH63" s="115">
        <f t="shared" si="8"/>
        <v>0</v>
      </c>
      <c r="BI63" s="115">
        <f t="shared" si="8"/>
        <v>0</v>
      </c>
      <c r="BJ63" s="115">
        <f t="shared" si="8"/>
        <v>0</v>
      </c>
      <c r="BK63" s="115">
        <f t="shared" si="8"/>
        <v>0</v>
      </c>
      <c r="BL63" s="115">
        <f t="shared" si="8"/>
        <v>0</v>
      </c>
      <c r="BM63" s="116">
        <f t="shared" si="8"/>
        <v>0</v>
      </c>
      <c r="BN63" s="80"/>
    </row>
    <row r="64" spans="2:66" ht="18.75" x14ac:dyDescent="0.35">
      <c r="B64" s="201"/>
      <c r="C64" s="30"/>
      <c r="D64" s="113" t="s">
        <v>137</v>
      </c>
      <c r="E64" s="156">
        <v>0</v>
      </c>
      <c r="F64" s="132"/>
      <c r="G64" s="30"/>
      <c r="H64" s="83" t="s">
        <v>43</v>
      </c>
      <c r="I64" s="157">
        <v>0</v>
      </c>
      <c r="J64" s="80"/>
      <c r="K64" s="81"/>
      <c r="L64" s="82" t="s">
        <v>78</v>
      </c>
      <c r="M64" s="82" t="s">
        <v>104</v>
      </c>
      <c r="N64" s="82" t="s">
        <v>77</v>
      </c>
      <c r="O64" s="81"/>
      <c r="P64" s="30"/>
      <c r="Q64" s="113" t="s">
        <v>67</v>
      </c>
      <c r="R64" s="114">
        <f>R53-R60</f>
        <v>0</v>
      </c>
      <c r="S64" s="115">
        <f t="shared" ref="S64:BM64" si="9">S53-S60</f>
        <v>0</v>
      </c>
      <c r="T64" s="115">
        <f t="shared" si="9"/>
        <v>0</v>
      </c>
      <c r="U64" s="115">
        <f t="shared" si="9"/>
        <v>0</v>
      </c>
      <c r="V64" s="115">
        <f t="shared" si="9"/>
        <v>0</v>
      </c>
      <c r="W64" s="115">
        <f t="shared" si="9"/>
        <v>0</v>
      </c>
      <c r="X64" s="115">
        <f t="shared" si="9"/>
        <v>0</v>
      </c>
      <c r="Y64" s="115">
        <f t="shared" si="9"/>
        <v>0</v>
      </c>
      <c r="Z64" s="115">
        <f t="shared" si="9"/>
        <v>0</v>
      </c>
      <c r="AA64" s="115">
        <f t="shared" si="9"/>
        <v>0</v>
      </c>
      <c r="AB64" s="115">
        <f t="shared" si="9"/>
        <v>0</v>
      </c>
      <c r="AC64" s="115">
        <f t="shared" si="9"/>
        <v>0</v>
      </c>
      <c r="AD64" s="115">
        <f t="shared" si="9"/>
        <v>0</v>
      </c>
      <c r="AE64" s="115">
        <f t="shared" si="9"/>
        <v>0</v>
      </c>
      <c r="AF64" s="115">
        <f t="shared" si="9"/>
        <v>0</v>
      </c>
      <c r="AG64" s="115">
        <f t="shared" si="9"/>
        <v>0</v>
      </c>
      <c r="AH64" s="115">
        <f t="shared" si="9"/>
        <v>0</v>
      </c>
      <c r="AI64" s="115">
        <f t="shared" si="9"/>
        <v>0</v>
      </c>
      <c r="AJ64" s="115">
        <f t="shared" si="9"/>
        <v>0</v>
      </c>
      <c r="AK64" s="115">
        <f t="shared" si="9"/>
        <v>0</v>
      </c>
      <c r="AL64" s="115">
        <f t="shared" si="9"/>
        <v>0</v>
      </c>
      <c r="AM64" s="115">
        <f t="shared" si="9"/>
        <v>0</v>
      </c>
      <c r="AN64" s="115">
        <f t="shared" si="9"/>
        <v>0</v>
      </c>
      <c r="AO64" s="115">
        <f t="shared" si="9"/>
        <v>0</v>
      </c>
      <c r="AP64" s="115">
        <f t="shared" si="9"/>
        <v>0</v>
      </c>
      <c r="AQ64" s="115">
        <f t="shared" si="9"/>
        <v>0</v>
      </c>
      <c r="AR64" s="115">
        <f t="shared" si="9"/>
        <v>0</v>
      </c>
      <c r="AS64" s="115">
        <f t="shared" si="9"/>
        <v>0</v>
      </c>
      <c r="AT64" s="115">
        <f t="shared" si="9"/>
        <v>0</v>
      </c>
      <c r="AU64" s="115">
        <f t="shared" si="9"/>
        <v>0</v>
      </c>
      <c r="AV64" s="115">
        <f t="shared" si="9"/>
        <v>0</v>
      </c>
      <c r="AW64" s="115">
        <f t="shared" si="9"/>
        <v>0</v>
      </c>
      <c r="AX64" s="115">
        <f t="shared" si="9"/>
        <v>0</v>
      </c>
      <c r="AY64" s="115">
        <f t="shared" si="9"/>
        <v>0</v>
      </c>
      <c r="AZ64" s="115">
        <f t="shared" si="9"/>
        <v>0</v>
      </c>
      <c r="BA64" s="115">
        <f t="shared" si="9"/>
        <v>0</v>
      </c>
      <c r="BB64" s="115">
        <f t="shared" si="9"/>
        <v>0</v>
      </c>
      <c r="BC64" s="115">
        <f t="shared" si="9"/>
        <v>0</v>
      </c>
      <c r="BD64" s="115">
        <f t="shared" si="9"/>
        <v>0</v>
      </c>
      <c r="BE64" s="115">
        <f t="shared" si="9"/>
        <v>0</v>
      </c>
      <c r="BF64" s="115">
        <f t="shared" si="9"/>
        <v>0</v>
      </c>
      <c r="BG64" s="115">
        <f t="shared" si="9"/>
        <v>0</v>
      </c>
      <c r="BH64" s="115">
        <f t="shared" si="9"/>
        <v>0</v>
      </c>
      <c r="BI64" s="115">
        <f t="shared" si="9"/>
        <v>0</v>
      </c>
      <c r="BJ64" s="115">
        <f t="shared" si="9"/>
        <v>0</v>
      </c>
      <c r="BK64" s="115">
        <f t="shared" si="9"/>
        <v>0</v>
      </c>
      <c r="BL64" s="115">
        <f t="shared" si="9"/>
        <v>0</v>
      </c>
      <c r="BM64" s="116">
        <f t="shared" si="9"/>
        <v>0</v>
      </c>
      <c r="BN64" s="80"/>
    </row>
    <row r="65" spans="2:66" ht="18.75" x14ac:dyDescent="0.35">
      <c r="B65" s="201"/>
      <c r="C65" s="30"/>
      <c r="D65" s="113" t="s">
        <v>138</v>
      </c>
      <c r="E65" s="156">
        <v>0</v>
      </c>
      <c r="F65" s="132"/>
      <c r="G65" s="30"/>
      <c r="H65" s="83" t="s">
        <v>44</v>
      </c>
      <c r="I65" s="157">
        <v>0</v>
      </c>
      <c r="J65" s="80"/>
      <c r="K65" s="81"/>
      <c r="L65" s="175">
        <f>ROUND(MAX(N65,N65^2),2)</f>
        <v>1</v>
      </c>
      <c r="M65" s="84">
        <f>ROUND(IF(SUM(R66:BM66)=0,SA_RLWPC300,SUMPRODUCT(R66:BM66,SA_PHHC300)/SUM(R66:BM66)),2)</f>
        <v>35.200000000000003</v>
      </c>
      <c r="N65" s="84">
        <f>ROUND(M65/SA_RLWPC300,2)</f>
        <v>1</v>
      </c>
      <c r="O65" s="81"/>
      <c r="P65" s="30"/>
      <c r="Q65" s="113" t="s">
        <v>83</v>
      </c>
      <c r="R65" s="114">
        <f t="shared" ref="R65:BM65" si="10">R54-R61</f>
        <v>0</v>
      </c>
      <c r="S65" s="115">
        <f t="shared" si="10"/>
        <v>0</v>
      </c>
      <c r="T65" s="115">
        <f t="shared" si="10"/>
        <v>0</v>
      </c>
      <c r="U65" s="115">
        <f t="shared" si="10"/>
        <v>0</v>
      </c>
      <c r="V65" s="115">
        <f t="shared" si="10"/>
        <v>0</v>
      </c>
      <c r="W65" s="115">
        <f t="shared" si="10"/>
        <v>0</v>
      </c>
      <c r="X65" s="115">
        <f t="shared" si="10"/>
        <v>0</v>
      </c>
      <c r="Y65" s="115">
        <f t="shared" si="10"/>
        <v>0</v>
      </c>
      <c r="Z65" s="115">
        <f t="shared" si="10"/>
        <v>0</v>
      </c>
      <c r="AA65" s="115">
        <f t="shared" si="10"/>
        <v>0</v>
      </c>
      <c r="AB65" s="115">
        <f t="shared" si="10"/>
        <v>0</v>
      </c>
      <c r="AC65" s="115">
        <f t="shared" si="10"/>
        <v>0</v>
      </c>
      <c r="AD65" s="115">
        <f t="shared" si="10"/>
        <v>0</v>
      </c>
      <c r="AE65" s="115">
        <f t="shared" si="10"/>
        <v>0</v>
      </c>
      <c r="AF65" s="115">
        <f t="shared" si="10"/>
        <v>0</v>
      </c>
      <c r="AG65" s="115">
        <f t="shared" si="10"/>
        <v>0</v>
      </c>
      <c r="AH65" s="115">
        <f t="shared" si="10"/>
        <v>0</v>
      </c>
      <c r="AI65" s="115">
        <f t="shared" si="10"/>
        <v>0</v>
      </c>
      <c r="AJ65" s="115">
        <f t="shared" si="10"/>
        <v>0</v>
      </c>
      <c r="AK65" s="115">
        <f t="shared" si="10"/>
        <v>0</v>
      </c>
      <c r="AL65" s="115">
        <f t="shared" si="10"/>
        <v>0</v>
      </c>
      <c r="AM65" s="115">
        <f t="shared" si="10"/>
        <v>0</v>
      </c>
      <c r="AN65" s="115">
        <f t="shared" si="10"/>
        <v>0</v>
      </c>
      <c r="AO65" s="115">
        <f t="shared" si="10"/>
        <v>0</v>
      </c>
      <c r="AP65" s="115">
        <f t="shared" si="10"/>
        <v>0</v>
      </c>
      <c r="AQ65" s="115">
        <f t="shared" si="10"/>
        <v>0</v>
      </c>
      <c r="AR65" s="115">
        <f t="shared" si="10"/>
        <v>0</v>
      </c>
      <c r="AS65" s="115">
        <f t="shared" si="10"/>
        <v>0</v>
      </c>
      <c r="AT65" s="115">
        <f t="shared" si="10"/>
        <v>0</v>
      </c>
      <c r="AU65" s="115">
        <f t="shared" si="10"/>
        <v>0</v>
      </c>
      <c r="AV65" s="115">
        <f t="shared" si="10"/>
        <v>0</v>
      </c>
      <c r="AW65" s="115">
        <f t="shared" si="10"/>
        <v>0</v>
      </c>
      <c r="AX65" s="115">
        <f t="shared" si="10"/>
        <v>0</v>
      </c>
      <c r="AY65" s="115">
        <f t="shared" si="10"/>
        <v>0</v>
      </c>
      <c r="AZ65" s="115">
        <f t="shared" si="10"/>
        <v>0</v>
      </c>
      <c r="BA65" s="115">
        <f t="shared" si="10"/>
        <v>0</v>
      </c>
      <c r="BB65" s="115">
        <f t="shared" si="10"/>
        <v>0</v>
      </c>
      <c r="BC65" s="115">
        <f t="shared" si="10"/>
        <v>0</v>
      </c>
      <c r="BD65" s="115">
        <f t="shared" si="10"/>
        <v>0</v>
      </c>
      <c r="BE65" s="115">
        <f t="shared" si="10"/>
        <v>0</v>
      </c>
      <c r="BF65" s="115">
        <f t="shared" si="10"/>
        <v>0</v>
      </c>
      <c r="BG65" s="115">
        <f t="shared" si="10"/>
        <v>0</v>
      </c>
      <c r="BH65" s="115">
        <f t="shared" si="10"/>
        <v>0</v>
      </c>
      <c r="BI65" s="115">
        <f t="shared" si="10"/>
        <v>0</v>
      </c>
      <c r="BJ65" s="115">
        <f t="shared" si="10"/>
        <v>0</v>
      </c>
      <c r="BK65" s="115">
        <f t="shared" si="10"/>
        <v>0</v>
      </c>
      <c r="BL65" s="115">
        <f t="shared" si="10"/>
        <v>0</v>
      </c>
      <c r="BM65" s="116">
        <f t="shared" si="10"/>
        <v>0</v>
      </c>
      <c r="BN65" s="80"/>
    </row>
    <row r="66" spans="2:66" x14ac:dyDescent="0.25">
      <c r="B66" s="201"/>
      <c r="C66" s="30"/>
      <c r="D66" s="41"/>
      <c r="E66" s="41"/>
      <c r="F66" s="132"/>
      <c r="G66" s="30"/>
      <c r="H66" s="41"/>
      <c r="I66" s="41"/>
      <c r="J66" s="80"/>
      <c r="K66" s="81"/>
      <c r="L66" s="2"/>
      <c r="O66" s="81"/>
      <c r="P66" s="30"/>
      <c r="Q66" s="113" t="s">
        <v>84</v>
      </c>
      <c r="R66" s="117">
        <f>R55-R62</f>
        <v>0</v>
      </c>
      <c r="S66" s="118">
        <f t="shared" ref="S66:BM66" si="11">S55-S62</f>
        <v>0</v>
      </c>
      <c r="T66" s="118">
        <f t="shared" si="11"/>
        <v>0</v>
      </c>
      <c r="U66" s="118">
        <f t="shared" si="11"/>
        <v>0</v>
      </c>
      <c r="V66" s="118">
        <f t="shared" si="11"/>
        <v>0</v>
      </c>
      <c r="W66" s="118">
        <f t="shared" si="11"/>
        <v>0</v>
      </c>
      <c r="X66" s="118">
        <f t="shared" si="11"/>
        <v>0</v>
      </c>
      <c r="Y66" s="118">
        <f t="shared" si="11"/>
        <v>0</v>
      </c>
      <c r="Z66" s="118">
        <f t="shared" si="11"/>
        <v>0</v>
      </c>
      <c r="AA66" s="118">
        <f t="shared" si="11"/>
        <v>0</v>
      </c>
      <c r="AB66" s="118">
        <f t="shared" si="11"/>
        <v>0</v>
      </c>
      <c r="AC66" s="118">
        <f t="shared" si="11"/>
        <v>0</v>
      </c>
      <c r="AD66" s="118">
        <f t="shared" si="11"/>
        <v>0</v>
      </c>
      <c r="AE66" s="118">
        <f t="shared" si="11"/>
        <v>0</v>
      </c>
      <c r="AF66" s="118">
        <f t="shared" si="11"/>
        <v>0</v>
      </c>
      <c r="AG66" s="118">
        <f t="shared" si="11"/>
        <v>0</v>
      </c>
      <c r="AH66" s="118">
        <f t="shared" si="11"/>
        <v>0</v>
      </c>
      <c r="AI66" s="118">
        <f t="shared" si="11"/>
        <v>0</v>
      </c>
      <c r="AJ66" s="118">
        <f t="shared" si="11"/>
        <v>0</v>
      </c>
      <c r="AK66" s="118">
        <f t="shared" si="11"/>
        <v>0</v>
      </c>
      <c r="AL66" s="118">
        <f t="shared" si="11"/>
        <v>0</v>
      </c>
      <c r="AM66" s="118">
        <f t="shared" si="11"/>
        <v>0</v>
      </c>
      <c r="AN66" s="118">
        <f t="shared" si="11"/>
        <v>0</v>
      </c>
      <c r="AO66" s="118">
        <f t="shared" si="11"/>
        <v>0</v>
      </c>
      <c r="AP66" s="118">
        <f t="shared" si="11"/>
        <v>0</v>
      </c>
      <c r="AQ66" s="118">
        <f t="shared" si="11"/>
        <v>0</v>
      </c>
      <c r="AR66" s="118">
        <f t="shared" si="11"/>
        <v>0</v>
      </c>
      <c r="AS66" s="118">
        <f t="shared" si="11"/>
        <v>0</v>
      </c>
      <c r="AT66" s="118">
        <f t="shared" si="11"/>
        <v>0</v>
      </c>
      <c r="AU66" s="118">
        <f t="shared" si="11"/>
        <v>0</v>
      </c>
      <c r="AV66" s="118">
        <f t="shared" si="11"/>
        <v>0</v>
      </c>
      <c r="AW66" s="118">
        <f t="shared" si="11"/>
        <v>0</v>
      </c>
      <c r="AX66" s="118">
        <f t="shared" si="11"/>
        <v>0</v>
      </c>
      <c r="AY66" s="118">
        <f t="shared" si="11"/>
        <v>0</v>
      </c>
      <c r="AZ66" s="118">
        <f t="shared" si="11"/>
        <v>0</v>
      </c>
      <c r="BA66" s="118">
        <f t="shared" si="11"/>
        <v>0</v>
      </c>
      <c r="BB66" s="118">
        <f t="shared" si="11"/>
        <v>0</v>
      </c>
      <c r="BC66" s="118">
        <f t="shared" si="11"/>
        <v>0</v>
      </c>
      <c r="BD66" s="118">
        <f t="shared" si="11"/>
        <v>0</v>
      </c>
      <c r="BE66" s="118">
        <f t="shared" si="11"/>
        <v>0</v>
      </c>
      <c r="BF66" s="118">
        <f t="shared" si="11"/>
        <v>0</v>
      </c>
      <c r="BG66" s="118">
        <f t="shared" si="11"/>
        <v>0</v>
      </c>
      <c r="BH66" s="118">
        <f t="shared" si="11"/>
        <v>0</v>
      </c>
      <c r="BI66" s="118">
        <f t="shared" si="11"/>
        <v>0</v>
      </c>
      <c r="BJ66" s="118">
        <f t="shared" si="11"/>
        <v>0</v>
      </c>
      <c r="BK66" s="118">
        <f t="shared" si="11"/>
        <v>0</v>
      </c>
      <c r="BL66" s="118">
        <f t="shared" si="11"/>
        <v>0</v>
      </c>
      <c r="BM66" s="119">
        <f t="shared" si="11"/>
        <v>0</v>
      </c>
      <c r="BN66" s="80"/>
    </row>
    <row r="67" spans="2:66" ht="5.25" customHeight="1" x14ac:dyDescent="0.25">
      <c r="B67" s="202"/>
      <c r="C67" s="130"/>
      <c r="D67" s="55"/>
      <c r="E67" s="55"/>
      <c r="F67" s="78"/>
      <c r="G67" s="72"/>
      <c r="H67" s="73"/>
      <c r="I67" s="73"/>
      <c r="J67" s="87"/>
      <c r="K67" s="86"/>
      <c r="L67" s="121"/>
      <c r="M67" s="86"/>
      <c r="N67" s="86"/>
      <c r="O67" s="86"/>
      <c r="P67" s="72"/>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7"/>
    </row>
    <row r="68" spans="2:66" ht="5.25" customHeight="1" x14ac:dyDescent="0.5">
      <c r="B68" s="200" t="s">
        <v>3</v>
      </c>
      <c r="C68" s="129"/>
      <c r="D68" s="133"/>
      <c r="E68" s="133"/>
      <c r="F68" s="131"/>
      <c r="G68" s="68"/>
      <c r="H68" s="125"/>
      <c r="I68" s="69"/>
      <c r="J68" s="38"/>
      <c r="K68" s="37"/>
      <c r="L68" s="36"/>
      <c r="M68" s="37"/>
      <c r="N68" s="37"/>
      <c r="O68" s="37"/>
      <c r="P68" s="126"/>
      <c r="Q68" s="127"/>
      <c r="R68" s="37"/>
      <c r="S68" s="37"/>
      <c r="T68" s="37"/>
      <c r="U68" s="128"/>
      <c r="V68" s="37"/>
      <c r="W68" s="37"/>
      <c r="X68" s="37"/>
      <c r="Y68" s="128"/>
      <c r="Z68" s="37"/>
      <c r="AA68" s="37"/>
      <c r="AB68" s="37"/>
      <c r="AC68" s="128"/>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8"/>
    </row>
    <row r="69" spans="2:66" ht="16.5" customHeight="1" x14ac:dyDescent="0.25">
      <c r="B69" s="201"/>
      <c r="C69" s="30"/>
      <c r="D69" s="41"/>
      <c r="E69" s="41"/>
      <c r="F69" s="132"/>
      <c r="G69" s="30"/>
      <c r="H69" s="70" t="s">
        <v>11</v>
      </c>
      <c r="I69" s="71"/>
      <c r="J69" s="80"/>
      <c r="K69" s="81"/>
      <c r="L69" s="2"/>
      <c r="O69" s="81"/>
      <c r="P69" s="75"/>
      <c r="Q69" s="74" t="s">
        <v>75</v>
      </c>
      <c r="R69" s="88">
        <v>1</v>
      </c>
      <c r="S69" s="88">
        <v>2</v>
      </c>
      <c r="T69" s="88">
        <v>3</v>
      </c>
      <c r="U69" s="88">
        <v>4</v>
      </c>
      <c r="V69" s="88">
        <v>5</v>
      </c>
      <c r="W69" s="88">
        <v>6</v>
      </c>
      <c r="X69" s="88">
        <v>7</v>
      </c>
      <c r="Y69" s="88">
        <v>8</v>
      </c>
      <c r="Z69" s="88">
        <v>9</v>
      </c>
      <c r="AA69" s="88">
        <v>10</v>
      </c>
      <c r="AB69" s="88">
        <v>11</v>
      </c>
      <c r="AC69" s="88">
        <v>12</v>
      </c>
      <c r="AD69" s="88">
        <v>13</v>
      </c>
      <c r="AE69" s="88">
        <v>14</v>
      </c>
      <c r="AF69" s="88">
        <v>15</v>
      </c>
      <c r="AG69" s="88">
        <v>16</v>
      </c>
      <c r="AH69" s="88">
        <v>17</v>
      </c>
      <c r="AI69" s="88">
        <v>18</v>
      </c>
      <c r="AJ69" s="88">
        <v>19</v>
      </c>
      <c r="AK69" s="88">
        <v>20</v>
      </c>
      <c r="AL69" s="88">
        <v>21</v>
      </c>
      <c r="AM69" s="88">
        <v>22</v>
      </c>
      <c r="AN69" s="88">
        <v>23</v>
      </c>
      <c r="AO69" s="88">
        <v>24</v>
      </c>
      <c r="AP69" s="88">
        <v>25</v>
      </c>
      <c r="AQ69" s="88">
        <v>26</v>
      </c>
      <c r="AR69" s="88">
        <v>27</v>
      </c>
      <c r="AS69" s="88">
        <v>28</v>
      </c>
      <c r="AT69" s="88">
        <v>29</v>
      </c>
      <c r="AU69" s="88">
        <v>30</v>
      </c>
      <c r="AV69" s="88">
        <v>31</v>
      </c>
      <c r="AW69" s="88">
        <v>32</v>
      </c>
      <c r="AX69" s="88">
        <v>33</v>
      </c>
      <c r="AY69" s="88">
        <v>34</v>
      </c>
      <c r="AZ69" s="88">
        <v>35</v>
      </c>
      <c r="BA69" s="88">
        <v>36</v>
      </c>
      <c r="BB69" s="88">
        <v>37</v>
      </c>
      <c r="BC69" s="88">
        <v>38</v>
      </c>
      <c r="BD69" s="88">
        <v>39</v>
      </c>
      <c r="BE69" s="88">
        <v>40</v>
      </c>
      <c r="BF69" s="88">
        <v>41</v>
      </c>
      <c r="BG69" s="88">
        <v>42</v>
      </c>
      <c r="BH69" s="88">
        <v>43</v>
      </c>
      <c r="BI69" s="88">
        <v>44</v>
      </c>
      <c r="BJ69" s="88">
        <v>45</v>
      </c>
      <c r="BK69" s="88">
        <v>46</v>
      </c>
      <c r="BL69" s="88">
        <v>47</v>
      </c>
      <c r="BM69" s="88">
        <v>48</v>
      </c>
      <c r="BN69" s="80"/>
    </row>
    <row r="70" spans="2:66" ht="18.75" x14ac:dyDescent="0.35">
      <c r="B70" s="201"/>
      <c r="C70" s="30"/>
      <c r="D70" s="41"/>
      <c r="E70" s="41"/>
      <c r="F70" s="132" t="s">
        <v>130</v>
      </c>
      <c r="G70" s="30"/>
      <c r="H70" s="83" t="s">
        <v>29</v>
      </c>
      <c r="I70" s="157"/>
      <c r="J70" s="80"/>
      <c r="K70" s="81"/>
      <c r="L70" s="82" t="s">
        <v>51</v>
      </c>
      <c r="M70" s="82" t="s">
        <v>99</v>
      </c>
      <c r="N70" s="82" t="s">
        <v>68</v>
      </c>
      <c r="O70" s="81"/>
      <c r="P70" s="30"/>
      <c r="Q70" s="83" t="s">
        <v>35</v>
      </c>
      <c r="R70" s="158"/>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60"/>
      <c r="BN70" s="80"/>
    </row>
    <row r="71" spans="2:66" ht="18.75" x14ac:dyDescent="0.35">
      <c r="B71" s="201"/>
      <c r="C71" s="30"/>
      <c r="D71" s="41"/>
      <c r="E71" s="41"/>
      <c r="F71" s="132"/>
      <c r="G71" s="30"/>
      <c r="H71" s="77"/>
      <c r="I71" s="77"/>
      <c r="J71" s="80"/>
      <c r="K71" s="81"/>
      <c r="L71" s="175">
        <f>ROUND(IF(SUM(R70:BM70)=0,1.05,MAX(N71,N71^2)),2)</f>
        <v>1.05</v>
      </c>
      <c r="M71" s="84">
        <f>ROUND(IF(SUM(R70:BM70)=0,TAS_RLWP,SUMPRODUCT(R70:BM70,TAS_PHH)/SUM(R71:BM71)),2)</f>
        <v>42.35</v>
      </c>
      <c r="N71" s="84">
        <f>ROUND(M71/TAS_RLWP,2)</f>
        <v>1</v>
      </c>
      <c r="O71" s="81"/>
      <c r="P71" s="30"/>
      <c r="Q71" s="83" t="s">
        <v>36</v>
      </c>
      <c r="R71" s="161"/>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3"/>
      <c r="BN71" s="80"/>
    </row>
    <row r="72" spans="2:66" ht="18.75" x14ac:dyDescent="0.35">
      <c r="B72" s="201"/>
      <c r="C72" s="30"/>
      <c r="D72" s="41"/>
      <c r="E72" s="41"/>
      <c r="F72" s="132" t="s">
        <v>5</v>
      </c>
      <c r="G72" s="30"/>
      <c r="H72" s="83" t="s">
        <v>30</v>
      </c>
      <c r="I72" s="157"/>
      <c r="J72" s="80"/>
      <c r="K72" s="81"/>
      <c r="L72" s="46"/>
      <c r="M72" s="85"/>
      <c r="N72" s="85"/>
      <c r="O72" s="81"/>
      <c r="P72" s="30"/>
      <c r="Q72" s="83" t="s">
        <v>39</v>
      </c>
      <c r="R72" s="161"/>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3"/>
      <c r="BN72" s="80"/>
    </row>
    <row r="73" spans="2:66" ht="18.75" x14ac:dyDescent="0.35">
      <c r="B73" s="201"/>
      <c r="C73" s="30"/>
      <c r="D73" s="41"/>
      <c r="E73" s="41"/>
      <c r="F73" s="132" t="s">
        <v>6</v>
      </c>
      <c r="G73" s="30"/>
      <c r="H73" s="83" t="s">
        <v>31</v>
      </c>
      <c r="I73" s="157"/>
      <c r="J73" s="80"/>
      <c r="K73" s="81"/>
      <c r="L73" s="82" t="s">
        <v>52</v>
      </c>
      <c r="M73" s="82" t="s">
        <v>100</v>
      </c>
      <c r="N73" s="82" t="s">
        <v>69</v>
      </c>
      <c r="O73" s="81"/>
      <c r="P73" s="30"/>
      <c r="Q73" s="83" t="s">
        <v>40</v>
      </c>
      <c r="R73" s="161"/>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3"/>
      <c r="BN73" s="80"/>
    </row>
    <row r="74" spans="2:66" ht="18.75" x14ac:dyDescent="0.35">
      <c r="B74" s="201"/>
      <c r="C74" s="30"/>
      <c r="D74" s="41"/>
      <c r="E74" s="41"/>
      <c r="F74" s="132" t="s">
        <v>7</v>
      </c>
      <c r="G74" s="30"/>
      <c r="H74" s="83" t="s">
        <v>54</v>
      </c>
      <c r="I74" s="157"/>
      <c r="J74" s="80"/>
      <c r="K74" s="81"/>
      <c r="L74" s="175">
        <f>ROUND(IF(SUM(R77:BM77)=0,0.95,MAX(N74,N74^2)),2)</f>
        <v>0.95</v>
      </c>
      <c r="M74" s="84">
        <f>ROUND(IF(SUM(R77:BM77)=0,TAS_RLWP,SUMPRODUCT(R77:BM77,TAS_PHH)/SUM(R78:BM78)),2)</f>
        <v>42.35</v>
      </c>
      <c r="N74" s="84">
        <f>ROUND(M74/TAS_RLWP,2)</f>
        <v>1</v>
      </c>
      <c r="O74" s="81"/>
      <c r="P74" s="30"/>
      <c r="Q74" s="83" t="s">
        <v>60</v>
      </c>
      <c r="R74" s="161"/>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3"/>
      <c r="BN74" s="80"/>
    </row>
    <row r="75" spans="2:66" ht="18.75" x14ac:dyDescent="0.35">
      <c r="B75" s="201"/>
      <c r="C75" s="30"/>
      <c r="D75" s="41"/>
      <c r="E75" s="41"/>
      <c r="F75" s="132"/>
      <c r="G75" s="30"/>
      <c r="H75" s="83" t="s">
        <v>55</v>
      </c>
      <c r="I75" s="157"/>
      <c r="J75" s="80"/>
      <c r="K75" s="81"/>
      <c r="L75" s="46"/>
      <c r="M75" s="85"/>
      <c r="N75" s="85"/>
      <c r="O75" s="81"/>
      <c r="P75" s="30"/>
      <c r="Q75" s="83" t="s">
        <v>61</v>
      </c>
      <c r="R75" s="161"/>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3"/>
      <c r="BN75" s="80"/>
    </row>
    <row r="76" spans="2:66" ht="18.75" x14ac:dyDescent="0.35">
      <c r="B76" s="201"/>
      <c r="C76" s="30"/>
      <c r="D76" s="41"/>
      <c r="E76" s="41"/>
      <c r="F76" s="132"/>
      <c r="G76" s="30"/>
      <c r="H76" s="83" t="s">
        <v>56</v>
      </c>
      <c r="I76" s="157"/>
      <c r="J76" s="80"/>
      <c r="K76" s="81"/>
      <c r="L76" s="82" t="s">
        <v>53</v>
      </c>
      <c r="M76" s="82" t="s">
        <v>101</v>
      </c>
      <c r="N76" s="82" t="s">
        <v>76</v>
      </c>
      <c r="O76" s="81"/>
      <c r="P76" s="30"/>
      <c r="Q76" s="83" t="s">
        <v>62</v>
      </c>
      <c r="R76" s="161"/>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3"/>
      <c r="BN76" s="80"/>
    </row>
    <row r="77" spans="2:66" ht="18.75" x14ac:dyDescent="0.35">
      <c r="B77" s="201"/>
      <c r="C77" s="30"/>
      <c r="D77" s="41"/>
      <c r="E77" s="41"/>
      <c r="F77" s="132" t="s">
        <v>131</v>
      </c>
      <c r="G77" s="30"/>
      <c r="H77" s="83" t="s">
        <v>32</v>
      </c>
      <c r="I77" s="157"/>
      <c r="J77" s="80"/>
      <c r="K77" s="81"/>
      <c r="L77" s="175">
        <f>ROUND(MAX(N77,N77^2),2)</f>
        <v>1</v>
      </c>
      <c r="M77" s="84">
        <f>ROUND(IF(SUM(R84:BM84)=0,TAS_RLWP,SUMPRODUCT(R84:BM84,TAS_PHH)/SUM(R84:BM84)),2)</f>
        <v>42.35</v>
      </c>
      <c r="N77" s="84">
        <f>ROUND(M77/TAS_RLWP,2)</f>
        <v>1</v>
      </c>
      <c r="O77" s="81"/>
      <c r="P77" s="30"/>
      <c r="Q77" s="83" t="s">
        <v>37</v>
      </c>
      <c r="R77" s="161"/>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3"/>
      <c r="BN77" s="80"/>
    </row>
    <row r="78" spans="2:66" ht="18.75" x14ac:dyDescent="0.35">
      <c r="B78" s="201"/>
      <c r="C78" s="30"/>
      <c r="D78" s="41"/>
      <c r="E78" s="41"/>
      <c r="F78" s="132"/>
      <c r="G78" s="30"/>
      <c r="H78" s="77"/>
      <c r="I78" s="77"/>
      <c r="J78" s="80"/>
      <c r="K78" s="81"/>
      <c r="L78" s="46"/>
      <c r="M78" s="85"/>
      <c r="N78" s="85"/>
      <c r="O78" s="81"/>
      <c r="P78" s="30"/>
      <c r="Q78" s="83" t="s">
        <v>38</v>
      </c>
      <c r="R78" s="161"/>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3"/>
      <c r="BN78" s="80"/>
    </row>
    <row r="79" spans="2:66" ht="18.75" x14ac:dyDescent="0.35">
      <c r="B79" s="201"/>
      <c r="C79" s="30"/>
      <c r="D79" s="41"/>
      <c r="E79" s="41"/>
      <c r="F79" s="132" t="s">
        <v>8</v>
      </c>
      <c r="G79" s="30"/>
      <c r="H79" s="83" t="s">
        <v>33</v>
      </c>
      <c r="I79" s="157"/>
      <c r="J79" s="80"/>
      <c r="K79" s="81"/>
      <c r="L79" s="82" t="s">
        <v>82</v>
      </c>
      <c r="M79" s="82" t="s">
        <v>102</v>
      </c>
      <c r="N79" s="82" t="s">
        <v>80</v>
      </c>
      <c r="O79" s="81"/>
      <c r="P79" s="30"/>
      <c r="Q79" s="83" t="s">
        <v>41</v>
      </c>
      <c r="R79" s="161"/>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3"/>
      <c r="BN79" s="80"/>
    </row>
    <row r="80" spans="2:66" ht="18.75" x14ac:dyDescent="0.35">
      <c r="B80" s="201"/>
      <c r="C80" s="30"/>
      <c r="D80" s="41"/>
      <c r="E80" s="41"/>
      <c r="F80" s="132" t="s">
        <v>9</v>
      </c>
      <c r="G80" s="30"/>
      <c r="H80" s="83" t="s">
        <v>34</v>
      </c>
      <c r="I80" s="157"/>
      <c r="J80" s="80"/>
      <c r="K80" s="81"/>
      <c r="L80" s="175">
        <f>ROUND(MAX(N80,N80^2),2)</f>
        <v>1</v>
      </c>
      <c r="M80" s="84">
        <f>ROUND(IF(SUM(R85:BM85)=0,TAS_RLWPC100,SUMPRODUCT(R85:BM85,TAS_PHHC100)/SUM(R85:BM85)),2)</f>
        <v>39.78</v>
      </c>
      <c r="N80" s="84">
        <f>ROUND(M80/TAS_RLWPC100,2)</f>
        <v>1</v>
      </c>
      <c r="O80" s="81"/>
      <c r="P80" s="30"/>
      <c r="Q80" s="83" t="s">
        <v>42</v>
      </c>
      <c r="R80" s="161"/>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3"/>
      <c r="BN80" s="80"/>
    </row>
    <row r="81" spans="2:66" ht="18.75" x14ac:dyDescent="0.35">
      <c r="B81" s="201"/>
      <c r="C81" s="30"/>
      <c r="D81" s="41"/>
      <c r="E81" s="41"/>
      <c r="F81" s="132" t="s">
        <v>10</v>
      </c>
      <c r="G81" s="30"/>
      <c r="H81" s="83" t="s">
        <v>57</v>
      </c>
      <c r="I81" s="157"/>
      <c r="J81" s="80"/>
      <c r="K81" s="81"/>
      <c r="L81" s="2"/>
      <c r="O81" s="81"/>
      <c r="P81" s="30"/>
      <c r="Q81" s="83" t="s">
        <v>63</v>
      </c>
      <c r="R81" s="161"/>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3"/>
      <c r="BN81" s="80"/>
    </row>
    <row r="82" spans="2:66" ht="18.75" x14ac:dyDescent="0.35">
      <c r="B82" s="201"/>
      <c r="C82" s="30"/>
      <c r="D82" s="41"/>
      <c r="E82" s="41"/>
      <c r="F82" s="132"/>
      <c r="G82" s="30"/>
      <c r="H82" s="83" t="s">
        <v>58</v>
      </c>
      <c r="I82" s="157"/>
      <c r="J82" s="80"/>
      <c r="K82" s="81"/>
      <c r="L82" s="82" t="s">
        <v>79</v>
      </c>
      <c r="M82" s="82" t="s">
        <v>103</v>
      </c>
      <c r="N82" s="82" t="s">
        <v>81</v>
      </c>
      <c r="O82" s="81"/>
      <c r="P82" s="30"/>
      <c r="Q82" s="83" t="s">
        <v>64</v>
      </c>
      <c r="R82" s="161"/>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3"/>
      <c r="BN82" s="80"/>
    </row>
    <row r="83" spans="2:66" ht="18.75" x14ac:dyDescent="0.35">
      <c r="B83" s="201"/>
      <c r="C83" s="30"/>
      <c r="D83" s="41"/>
      <c r="E83" s="41"/>
      <c r="F83" s="132"/>
      <c r="G83" s="30"/>
      <c r="H83" s="83" t="s">
        <v>59</v>
      </c>
      <c r="I83" s="157"/>
      <c r="J83" s="80"/>
      <c r="K83" s="81"/>
      <c r="L83" s="175">
        <f>ROUND(MAX(N83,N83^2),2)</f>
        <v>1</v>
      </c>
      <c r="M83" s="84">
        <f>ROUND(IF(SUM(R86:BM86)=0,TAS_RLWPC200,SUMPRODUCT(R86:BM86,TAS_PHHC200)/SUM(R86:BM86)),2)</f>
        <v>40.29</v>
      </c>
      <c r="N83" s="84">
        <f>ROUND(M83/TAS_RLWPC200,2)</f>
        <v>1</v>
      </c>
      <c r="O83" s="81"/>
      <c r="P83" s="30"/>
      <c r="Q83" s="83" t="s">
        <v>65</v>
      </c>
      <c r="R83" s="161"/>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3"/>
      <c r="BN83" s="80"/>
    </row>
    <row r="84" spans="2:66" x14ac:dyDescent="0.25">
      <c r="B84" s="201"/>
      <c r="C84" s="30"/>
      <c r="D84" s="41"/>
      <c r="E84" s="41"/>
      <c r="F84" s="132"/>
      <c r="G84" s="30"/>
      <c r="H84" s="41"/>
      <c r="I84" s="41"/>
      <c r="J84" s="80"/>
      <c r="K84" s="81"/>
      <c r="L84" s="2"/>
      <c r="O84" s="81"/>
      <c r="P84" s="30"/>
      <c r="Q84" s="113" t="s">
        <v>66</v>
      </c>
      <c r="R84" s="114">
        <f>SUM(R72:R73)-SUM(R79:R80)</f>
        <v>0</v>
      </c>
      <c r="S84" s="115">
        <f t="shared" ref="S84:BM84" si="12">SUM(S72:S73)-SUM(S79:S80)</f>
        <v>0</v>
      </c>
      <c r="T84" s="115">
        <f t="shared" si="12"/>
        <v>0</v>
      </c>
      <c r="U84" s="115">
        <f t="shared" si="12"/>
        <v>0</v>
      </c>
      <c r="V84" s="115">
        <f t="shared" si="12"/>
        <v>0</v>
      </c>
      <c r="W84" s="115">
        <f t="shared" si="12"/>
        <v>0</v>
      </c>
      <c r="X84" s="115">
        <f t="shared" si="12"/>
        <v>0</v>
      </c>
      <c r="Y84" s="115">
        <f t="shared" si="12"/>
        <v>0</v>
      </c>
      <c r="Z84" s="115">
        <f t="shared" si="12"/>
        <v>0</v>
      </c>
      <c r="AA84" s="115">
        <f t="shared" si="12"/>
        <v>0</v>
      </c>
      <c r="AB84" s="115">
        <f t="shared" si="12"/>
        <v>0</v>
      </c>
      <c r="AC84" s="115">
        <f t="shared" si="12"/>
        <v>0</v>
      </c>
      <c r="AD84" s="115">
        <f t="shared" si="12"/>
        <v>0</v>
      </c>
      <c r="AE84" s="115">
        <f t="shared" si="12"/>
        <v>0</v>
      </c>
      <c r="AF84" s="115">
        <f t="shared" si="12"/>
        <v>0</v>
      </c>
      <c r="AG84" s="115">
        <f t="shared" si="12"/>
        <v>0</v>
      </c>
      <c r="AH84" s="115">
        <f t="shared" si="12"/>
        <v>0</v>
      </c>
      <c r="AI84" s="115">
        <f t="shared" si="12"/>
        <v>0</v>
      </c>
      <c r="AJ84" s="115">
        <f t="shared" si="12"/>
        <v>0</v>
      </c>
      <c r="AK84" s="115">
        <f t="shared" si="12"/>
        <v>0</v>
      </c>
      <c r="AL84" s="115">
        <f t="shared" si="12"/>
        <v>0</v>
      </c>
      <c r="AM84" s="115">
        <f t="shared" si="12"/>
        <v>0</v>
      </c>
      <c r="AN84" s="115">
        <f t="shared" si="12"/>
        <v>0</v>
      </c>
      <c r="AO84" s="115">
        <f t="shared" si="12"/>
        <v>0</v>
      </c>
      <c r="AP84" s="115">
        <f t="shared" si="12"/>
        <v>0</v>
      </c>
      <c r="AQ84" s="115">
        <f t="shared" si="12"/>
        <v>0</v>
      </c>
      <c r="AR84" s="115">
        <f t="shared" si="12"/>
        <v>0</v>
      </c>
      <c r="AS84" s="115">
        <f t="shared" si="12"/>
        <v>0</v>
      </c>
      <c r="AT84" s="115">
        <f t="shared" si="12"/>
        <v>0</v>
      </c>
      <c r="AU84" s="115">
        <f t="shared" si="12"/>
        <v>0</v>
      </c>
      <c r="AV84" s="115">
        <f t="shared" si="12"/>
        <v>0</v>
      </c>
      <c r="AW84" s="115">
        <f t="shared" si="12"/>
        <v>0</v>
      </c>
      <c r="AX84" s="115">
        <f t="shared" si="12"/>
        <v>0</v>
      </c>
      <c r="AY84" s="115">
        <f t="shared" si="12"/>
        <v>0</v>
      </c>
      <c r="AZ84" s="115">
        <f t="shared" si="12"/>
        <v>0</v>
      </c>
      <c r="BA84" s="115">
        <f t="shared" si="12"/>
        <v>0</v>
      </c>
      <c r="BB84" s="115">
        <f t="shared" si="12"/>
        <v>0</v>
      </c>
      <c r="BC84" s="115">
        <f t="shared" si="12"/>
        <v>0</v>
      </c>
      <c r="BD84" s="115">
        <f t="shared" si="12"/>
        <v>0</v>
      </c>
      <c r="BE84" s="115">
        <f t="shared" si="12"/>
        <v>0</v>
      </c>
      <c r="BF84" s="115">
        <f t="shared" si="12"/>
        <v>0</v>
      </c>
      <c r="BG84" s="115">
        <f t="shared" si="12"/>
        <v>0</v>
      </c>
      <c r="BH84" s="115">
        <f t="shared" si="12"/>
        <v>0</v>
      </c>
      <c r="BI84" s="115">
        <f t="shared" si="12"/>
        <v>0</v>
      </c>
      <c r="BJ84" s="115">
        <f t="shared" si="12"/>
        <v>0</v>
      </c>
      <c r="BK84" s="115">
        <f t="shared" si="12"/>
        <v>0</v>
      </c>
      <c r="BL84" s="115">
        <f t="shared" si="12"/>
        <v>0</v>
      </c>
      <c r="BM84" s="116">
        <f t="shared" si="12"/>
        <v>0</v>
      </c>
      <c r="BN84" s="80"/>
    </row>
    <row r="85" spans="2:66" ht="18.75" x14ac:dyDescent="0.35">
      <c r="B85" s="201"/>
      <c r="C85" s="30"/>
      <c r="D85" s="113" t="s">
        <v>137</v>
      </c>
      <c r="E85" s="156">
        <v>0</v>
      </c>
      <c r="F85" s="132"/>
      <c r="G85" s="30"/>
      <c r="H85" s="83" t="s">
        <v>43</v>
      </c>
      <c r="I85" s="157">
        <v>0</v>
      </c>
      <c r="J85" s="80"/>
      <c r="K85" s="81"/>
      <c r="L85" s="82" t="s">
        <v>78</v>
      </c>
      <c r="M85" s="82" t="s">
        <v>104</v>
      </c>
      <c r="N85" s="82" t="s">
        <v>77</v>
      </c>
      <c r="O85" s="81"/>
      <c r="P85" s="30"/>
      <c r="Q85" s="113" t="s">
        <v>67</v>
      </c>
      <c r="R85" s="114">
        <f>R74-R81</f>
        <v>0</v>
      </c>
      <c r="S85" s="115">
        <f t="shared" ref="S85:BM85" si="13">S74-S81</f>
        <v>0</v>
      </c>
      <c r="T85" s="115">
        <f t="shared" si="13"/>
        <v>0</v>
      </c>
      <c r="U85" s="115">
        <f t="shared" si="13"/>
        <v>0</v>
      </c>
      <c r="V85" s="115">
        <f t="shared" si="13"/>
        <v>0</v>
      </c>
      <c r="W85" s="115">
        <f t="shared" si="13"/>
        <v>0</v>
      </c>
      <c r="X85" s="115">
        <f t="shared" si="13"/>
        <v>0</v>
      </c>
      <c r="Y85" s="115">
        <f t="shared" si="13"/>
        <v>0</v>
      </c>
      <c r="Z85" s="115">
        <f t="shared" si="13"/>
        <v>0</v>
      </c>
      <c r="AA85" s="115">
        <f t="shared" si="13"/>
        <v>0</v>
      </c>
      <c r="AB85" s="115">
        <f t="shared" si="13"/>
        <v>0</v>
      </c>
      <c r="AC85" s="115">
        <f t="shared" si="13"/>
        <v>0</v>
      </c>
      <c r="AD85" s="115">
        <f t="shared" si="13"/>
        <v>0</v>
      </c>
      <c r="AE85" s="115">
        <f t="shared" si="13"/>
        <v>0</v>
      </c>
      <c r="AF85" s="115">
        <f t="shared" si="13"/>
        <v>0</v>
      </c>
      <c r="AG85" s="115">
        <f t="shared" si="13"/>
        <v>0</v>
      </c>
      <c r="AH85" s="115">
        <f t="shared" si="13"/>
        <v>0</v>
      </c>
      <c r="AI85" s="115">
        <f t="shared" si="13"/>
        <v>0</v>
      </c>
      <c r="AJ85" s="115">
        <f t="shared" si="13"/>
        <v>0</v>
      </c>
      <c r="AK85" s="115">
        <f t="shared" si="13"/>
        <v>0</v>
      </c>
      <c r="AL85" s="115">
        <f t="shared" si="13"/>
        <v>0</v>
      </c>
      <c r="AM85" s="115">
        <f t="shared" si="13"/>
        <v>0</v>
      </c>
      <c r="AN85" s="115">
        <f t="shared" si="13"/>
        <v>0</v>
      </c>
      <c r="AO85" s="115">
        <f t="shared" si="13"/>
        <v>0</v>
      </c>
      <c r="AP85" s="115">
        <f t="shared" si="13"/>
        <v>0</v>
      </c>
      <c r="AQ85" s="115">
        <f t="shared" si="13"/>
        <v>0</v>
      </c>
      <c r="AR85" s="115">
        <f t="shared" si="13"/>
        <v>0</v>
      </c>
      <c r="AS85" s="115">
        <f t="shared" si="13"/>
        <v>0</v>
      </c>
      <c r="AT85" s="115">
        <f t="shared" si="13"/>
        <v>0</v>
      </c>
      <c r="AU85" s="115">
        <f t="shared" si="13"/>
        <v>0</v>
      </c>
      <c r="AV85" s="115">
        <f t="shared" si="13"/>
        <v>0</v>
      </c>
      <c r="AW85" s="115">
        <f t="shared" si="13"/>
        <v>0</v>
      </c>
      <c r="AX85" s="115">
        <f t="shared" si="13"/>
        <v>0</v>
      </c>
      <c r="AY85" s="115">
        <f t="shared" si="13"/>
        <v>0</v>
      </c>
      <c r="AZ85" s="115">
        <f t="shared" si="13"/>
        <v>0</v>
      </c>
      <c r="BA85" s="115">
        <f t="shared" si="13"/>
        <v>0</v>
      </c>
      <c r="BB85" s="115">
        <f t="shared" si="13"/>
        <v>0</v>
      </c>
      <c r="BC85" s="115">
        <f t="shared" si="13"/>
        <v>0</v>
      </c>
      <c r="BD85" s="115">
        <f t="shared" si="13"/>
        <v>0</v>
      </c>
      <c r="BE85" s="115">
        <f t="shared" si="13"/>
        <v>0</v>
      </c>
      <c r="BF85" s="115">
        <f t="shared" si="13"/>
        <v>0</v>
      </c>
      <c r="BG85" s="115">
        <f t="shared" si="13"/>
        <v>0</v>
      </c>
      <c r="BH85" s="115">
        <f t="shared" si="13"/>
        <v>0</v>
      </c>
      <c r="BI85" s="115">
        <f t="shared" si="13"/>
        <v>0</v>
      </c>
      <c r="BJ85" s="115">
        <f t="shared" si="13"/>
        <v>0</v>
      </c>
      <c r="BK85" s="115">
        <f t="shared" si="13"/>
        <v>0</v>
      </c>
      <c r="BL85" s="115">
        <f t="shared" si="13"/>
        <v>0</v>
      </c>
      <c r="BM85" s="116">
        <f t="shared" si="13"/>
        <v>0</v>
      </c>
      <c r="BN85" s="80"/>
    </row>
    <row r="86" spans="2:66" ht="18.75" x14ac:dyDescent="0.35">
      <c r="B86" s="201"/>
      <c r="C86" s="30"/>
      <c r="D86" s="113" t="s">
        <v>138</v>
      </c>
      <c r="E86" s="156">
        <v>0</v>
      </c>
      <c r="F86" s="132"/>
      <c r="G86" s="30"/>
      <c r="H86" s="83" t="s">
        <v>44</v>
      </c>
      <c r="I86" s="157">
        <v>0</v>
      </c>
      <c r="J86" s="80"/>
      <c r="K86" s="81"/>
      <c r="L86" s="175">
        <f>ROUND(MAX(N86,N86^2),2)</f>
        <v>1</v>
      </c>
      <c r="M86" s="84">
        <f>ROUND(IF(SUM(R87:BM87)=0,TAS_RLWPC300,SUMPRODUCT(R87:BM87,TAS_PHHC300)/SUM(R87:BM87)),2)</f>
        <v>40.51</v>
      </c>
      <c r="N86" s="84">
        <f>ROUND(M86/TAS_RLWPC300,2)</f>
        <v>1</v>
      </c>
      <c r="O86" s="81"/>
      <c r="P86" s="30"/>
      <c r="Q86" s="113" t="s">
        <v>83</v>
      </c>
      <c r="R86" s="114">
        <f t="shared" ref="R86:BM86" si="14">R75-R82</f>
        <v>0</v>
      </c>
      <c r="S86" s="115">
        <f t="shared" si="14"/>
        <v>0</v>
      </c>
      <c r="T86" s="115">
        <f t="shared" si="14"/>
        <v>0</v>
      </c>
      <c r="U86" s="115">
        <f t="shared" si="14"/>
        <v>0</v>
      </c>
      <c r="V86" s="115">
        <f t="shared" si="14"/>
        <v>0</v>
      </c>
      <c r="W86" s="115">
        <f t="shared" si="14"/>
        <v>0</v>
      </c>
      <c r="X86" s="115">
        <f t="shared" si="14"/>
        <v>0</v>
      </c>
      <c r="Y86" s="115">
        <f t="shared" si="14"/>
        <v>0</v>
      </c>
      <c r="Z86" s="115">
        <f t="shared" si="14"/>
        <v>0</v>
      </c>
      <c r="AA86" s="115">
        <f t="shared" si="14"/>
        <v>0</v>
      </c>
      <c r="AB86" s="115">
        <f t="shared" si="14"/>
        <v>0</v>
      </c>
      <c r="AC86" s="115">
        <f t="shared" si="14"/>
        <v>0</v>
      </c>
      <c r="AD86" s="115">
        <f t="shared" si="14"/>
        <v>0</v>
      </c>
      <c r="AE86" s="115">
        <f t="shared" si="14"/>
        <v>0</v>
      </c>
      <c r="AF86" s="115">
        <f t="shared" si="14"/>
        <v>0</v>
      </c>
      <c r="AG86" s="115">
        <f t="shared" si="14"/>
        <v>0</v>
      </c>
      <c r="AH86" s="115">
        <f t="shared" si="14"/>
        <v>0</v>
      </c>
      <c r="AI86" s="115">
        <f t="shared" si="14"/>
        <v>0</v>
      </c>
      <c r="AJ86" s="115">
        <f t="shared" si="14"/>
        <v>0</v>
      </c>
      <c r="AK86" s="115">
        <f t="shared" si="14"/>
        <v>0</v>
      </c>
      <c r="AL86" s="115">
        <f t="shared" si="14"/>
        <v>0</v>
      </c>
      <c r="AM86" s="115">
        <f t="shared" si="14"/>
        <v>0</v>
      </c>
      <c r="AN86" s="115">
        <f t="shared" si="14"/>
        <v>0</v>
      </c>
      <c r="AO86" s="115">
        <f t="shared" si="14"/>
        <v>0</v>
      </c>
      <c r="AP86" s="115">
        <f t="shared" si="14"/>
        <v>0</v>
      </c>
      <c r="AQ86" s="115">
        <f t="shared" si="14"/>
        <v>0</v>
      </c>
      <c r="AR86" s="115">
        <f t="shared" si="14"/>
        <v>0</v>
      </c>
      <c r="AS86" s="115">
        <f t="shared" si="14"/>
        <v>0</v>
      </c>
      <c r="AT86" s="115">
        <f t="shared" si="14"/>
        <v>0</v>
      </c>
      <c r="AU86" s="115">
        <f t="shared" si="14"/>
        <v>0</v>
      </c>
      <c r="AV86" s="115">
        <f t="shared" si="14"/>
        <v>0</v>
      </c>
      <c r="AW86" s="115">
        <f t="shared" si="14"/>
        <v>0</v>
      </c>
      <c r="AX86" s="115">
        <f t="shared" si="14"/>
        <v>0</v>
      </c>
      <c r="AY86" s="115">
        <f t="shared" si="14"/>
        <v>0</v>
      </c>
      <c r="AZ86" s="115">
        <f t="shared" si="14"/>
        <v>0</v>
      </c>
      <c r="BA86" s="115">
        <f t="shared" si="14"/>
        <v>0</v>
      </c>
      <c r="BB86" s="115">
        <f t="shared" si="14"/>
        <v>0</v>
      </c>
      <c r="BC86" s="115">
        <f t="shared" si="14"/>
        <v>0</v>
      </c>
      <c r="BD86" s="115">
        <f t="shared" si="14"/>
        <v>0</v>
      </c>
      <c r="BE86" s="115">
        <f t="shared" si="14"/>
        <v>0</v>
      </c>
      <c r="BF86" s="115">
        <f t="shared" si="14"/>
        <v>0</v>
      </c>
      <c r="BG86" s="115">
        <f t="shared" si="14"/>
        <v>0</v>
      </c>
      <c r="BH86" s="115">
        <f t="shared" si="14"/>
        <v>0</v>
      </c>
      <c r="BI86" s="115">
        <f t="shared" si="14"/>
        <v>0</v>
      </c>
      <c r="BJ86" s="115">
        <f t="shared" si="14"/>
        <v>0</v>
      </c>
      <c r="BK86" s="115">
        <f t="shared" si="14"/>
        <v>0</v>
      </c>
      <c r="BL86" s="115">
        <f t="shared" si="14"/>
        <v>0</v>
      </c>
      <c r="BM86" s="116">
        <f t="shared" si="14"/>
        <v>0</v>
      </c>
      <c r="BN86" s="80"/>
    </row>
    <row r="87" spans="2:66" x14ac:dyDescent="0.25">
      <c r="B87" s="201"/>
      <c r="C87" s="30"/>
      <c r="D87" s="41"/>
      <c r="E87" s="41"/>
      <c r="F87" s="132"/>
      <c r="G87" s="30"/>
      <c r="H87" s="41"/>
      <c r="I87" s="41"/>
      <c r="J87" s="80"/>
      <c r="K87" s="81"/>
      <c r="L87" s="2"/>
      <c r="O87" s="81"/>
      <c r="P87" s="30"/>
      <c r="Q87" s="113" t="s">
        <v>84</v>
      </c>
      <c r="R87" s="117">
        <f>R76-R83</f>
        <v>0</v>
      </c>
      <c r="S87" s="118">
        <f t="shared" ref="S87:BM87" si="15">S76-S83</f>
        <v>0</v>
      </c>
      <c r="T87" s="118">
        <f t="shared" si="15"/>
        <v>0</v>
      </c>
      <c r="U87" s="118">
        <f t="shared" si="15"/>
        <v>0</v>
      </c>
      <c r="V87" s="118">
        <f t="shared" si="15"/>
        <v>0</v>
      </c>
      <c r="W87" s="118">
        <f t="shared" si="15"/>
        <v>0</v>
      </c>
      <c r="X87" s="118">
        <f t="shared" si="15"/>
        <v>0</v>
      </c>
      <c r="Y87" s="118">
        <f t="shared" si="15"/>
        <v>0</v>
      </c>
      <c r="Z87" s="118">
        <f t="shared" si="15"/>
        <v>0</v>
      </c>
      <c r="AA87" s="118">
        <f t="shared" si="15"/>
        <v>0</v>
      </c>
      <c r="AB87" s="118">
        <f t="shared" si="15"/>
        <v>0</v>
      </c>
      <c r="AC87" s="118">
        <f t="shared" si="15"/>
        <v>0</v>
      </c>
      <c r="AD87" s="118">
        <f t="shared" si="15"/>
        <v>0</v>
      </c>
      <c r="AE87" s="118">
        <f t="shared" si="15"/>
        <v>0</v>
      </c>
      <c r="AF87" s="118">
        <f t="shared" si="15"/>
        <v>0</v>
      </c>
      <c r="AG87" s="118">
        <f t="shared" si="15"/>
        <v>0</v>
      </c>
      <c r="AH87" s="118">
        <f t="shared" si="15"/>
        <v>0</v>
      </c>
      <c r="AI87" s="118">
        <f t="shared" si="15"/>
        <v>0</v>
      </c>
      <c r="AJ87" s="118">
        <f t="shared" si="15"/>
        <v>0</v>
      </c>
      <c r="AK87" s="118">
        <f t="shared" si="15"/>
        <v>0</v>
      </c>
      <c r="AL87" s="118">
        <f t="shared" si="15"/>
        <v>0</v>
      </c>
      <c r="AM87" s="118">
        <f t="shared" si="15"/>
        <v>0</v>
      </c>
      <c r="AN87" s="118">
        <f t="shared" si="15"/>
        <v>0</v>
      </c>
      <c r="AO87" s="118">
        <f t="shared" si="15"/>
        <v>0</v>
      </c>
      <c r="AP87" s="118">
        <f t="shared" si="15"/>
        <v>0</v>
      </c>
      <c r="AQ87" s="118">
        <f t="shared" si="15"/>
        <v>0</v>
      </c>
      <c r="AR87" s="118">
        <f t="shared" si="15"/>
        <v>0</v>
      </c>
      <c r="AS87" s="118">
        <f t="shared" si="15"/>
        <v>0</v>
      </c>
      <c r="AT87" s="118">
        <f t="shared" si="15"/>
        <v>0</v>
      </c>
      <c r="AU87" s="118">
        <f t="shared" si="15"/>
        <v>0</v>
      </c>
      <c r="AV87" s="118">
        <f t="shared" si="15"/>
        <v>0</v>
      </c>
      <c r="AW87" s="118">
        <f t="shared" si="15"/>
        <v>0</v>
      </c>
      <c r="AX87" s="118">
        <f t="shared" si="15"/>
        <v>0</v>
      </c>
      <c r="AY87" s="118">
        <f t="shared" si="15"/>
        <v>0</v>
      </c>
      <c r="AZ87" s="118">
        <f t="shared" si="15"/>
        <v>0</v>
      </c>
      <c r="BA87" s="118">
        <f t="shared" si="15"/>
        <v>0</v>
      </c>
      <c r="BB87" s="118">
        <f t="shared" si="15"/>
        <v>0</v>
      </c>
      <c r="BC87" s="118">
        <f t="shared" si="15"/>
        <v>0</v>
      </c>
      <c r="BD87" s="118">
        <f t="shared" si="15"/>
        <v>0</v>
      </c>
      <c r="BE87" s="118">
        <f t="shared" si="15"/>
        <v>0</v>
      </c>
      <c r="BF87" s="118">
        <f t="shared" si="15"/>
        <v>0</v>
      </c>
      <c r="BG87" s="118">
        <f t="shared" si="15"/>
        <v>0</v>
      </c>
      <c r="BH87" s="118">
        <f t="shared" si="15"/>
        <v>0</v>
      </c>
      <c r="BI87" s="118">
        <f t="shared" si="15"/>
        <v>0</v>
      </c>
      <c r="BJ87" s="118">
        <f t="shared" si="15"/>
        <v>0</v>
      </c>
      <c r="BK87" s="118">
        <f t="shared" si="15"/>
        <v>0</v>
      </c>
      <c r="BL87" s="118">
        <f t="shared" si="15"/>
        <v>0</v>
      </c>
      <c r="BM87" s="119">
        <f t="shared" si="15"/>
        <v>0</v>
      </c>
      <c r="BN87" s="80"/>
    </row>
    <row r="88" spans="2:66" ht="5.25" customHeight="1" x14ac:dyDescent="0.25">
      <c r="B88" s="202"/>
      <c r="C88" s="130"/>
      <c r="D88" s="55"/>
      <c r="E88" s="55"/>
      <c r="F88" s="78"/>
      <c r="G88" s="72"/>
      <c r="H88" s="73"/>
      <c r="I88" s="73"/>
      <c r="J88" s="87"/>
      <c r="K88" s="86"/>
      <c r="L88" s="121"/>
      <c r="M88" s="86"/>
      <c r="N88" s="86"/>
      <c r="O88" s="86"/>
      <c r="P88" s="72"/>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7"/>
    </row>
    <row r="89" spans="2:66" ht="5.25" customHeight="1" x14ac:dyDescent="0.5">
      <c r="B89" s="200" t="s">
        <v>4</v>
      </c>
      <c r="C89" s="129"/>
      <c r="D89" s="133"/>
      <c r="E89" s="133"/>
      <c r="F89" s="131"/>
      <c r="G89" s="68"/>
      <c r="H89" s="125"/>
      <c r="I89" s="69"/>
      <c r="J89" s="38"/>
      <c r="K89" s="37"/>
      <c r="L89" s="36"/>
      <c r="M89" s="37"/>
      <c r="N89" s="37"/>
      <c r="O89" s="37"/>
      <c r="P89" s="126"/>
      <c r="Q89" s="127"/>
      <c r="R89" s="37"/>
      <c r="S89" s="37"/>
      <c r="T89" s="37"/>
      <c r="U89" s="128"/>
      <c r="V89" s="37"/>
      <c r="W89" s="37"/>
      <c r="X89" s="37"/>
      <c r="Y89" s="128"/>
      <c r="Z89" s="37"/>
      <c r="AA89" s="37"/>
      <c r="AB89" s="37"/>
      <c r="AC89" s="128"/>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8"/>
    </row>
    <row r="90" spans="2:66" ht="16.5" customHeight="1" x14ac:dyDescent="0.25">
      <c r="B90" s="201"/>
      <c r="C90" s="30"/>
      <c r="D90" s="41"/>
      <c r="E90" s="41"/>
      <c r="F90" s="132"/>
      <c r="G90" s="30"/>
      <c r="H90" s="70" t="s">
        <v>11</v>
      </c>
      <c r="I90" s="71"/>
      <c r="J90" s="80"/>
      <c r="K90" s="81"/>
      <c r="L90" s="2"/>
      <c r="O90" s="81"/>
      <c r="P90" s="75"/>
      <c r="Q90" s="74" t="s">
        <v>75</v>
      </c>
      <c r="R90" s="88">
        <v>1</v>
      </c>
      <c r="S90" s="88">
        <v>2</v>
      </c>
      <c r="T90" s="88">
        <v>3</v>
      </c>
      <c r="U90" s="88">
        <v>4</v>
      </c>
      <c r="V90" s="88">
        <v>5</v>
      </c>
      <c r="W90" s="88">
        <v>6</v>
      </c>
      <c r="X90" s="88">
        <v>7</v>
      </c>
      <c r="Y90" s="88">
        <v>8</v>
      </c>
      <c r="Z90" s="88">
        <v>9</v>
      </c>
      <c r="AA90" s="88">
        <v>10</v>
      </c>
      <c r="AB90" s="88">
        <v>11</v>
      </c>
      <c r="AC90" s="88">
        <v>12</v>
      </c>
      <c r="AD90" s="88">
        <v>13</v>
      </c>
      <c r="AE90" s="88">
        <v>14</v>
      </c>
      <c r="AF90" s="88">
        <v>15</v>
      </c>
      <c r="AG90" s="88">
        <v>16</v>
      </c>
      <c r="AH90" s="88">
        <v>17</v>
      </c>
      <c r="AI90" s="88">
        <v>18</v>
      </c>
      <c r="AJ90" s="88">
        <v>19</v>
      </c>
      <c r="AK90" s="88">
        <v>20</v>
      </c>
      <c r="AL90" s="88">
        <v>21</v>
      </c>
      <c r="AM90" s="88">
        <v>22</v>
      </c>
      <c r="AN90" s="88">
        <v>23</v>
      </c>
      <c r="AO90" s="88">
        <v>24</v>
      </c>
      <c r="AP90" s="88">
        <v>25</v>
      </c>
      <c r="AQ90" s="88">
        <v>26</v>
      </c>
      <c r="AR90" s="88">
        <v>27</v>
      </c>
      <c r="AS90" s="88">
        <v>28</v>
      </c>
      <c r="AT90" s="88">
        <v>29</v>
      </c>
      <c r="AU90" s="88">
        <v>30</v>
      </c>
      <c r="AV90" s="88">
        <v>31</v>
      </c>
      <c r="AW90" s="88">
        <v>32</v>
      </c>
      <c r="AX90" s="88">
        <v>33</v>
      </c>
      <c r="AY90" s="88">
        <v>34</v>
      </c>
      <c r="AZ90" s="88">
        <v>35</v>
      </c>
      <c r="BA90" s="88">
        <v>36</v>
      </c>
      <c r="BB90" s="88">
        <v>37</v>
      </c>
      <c r="BC90" s="88">
        <v>38</v>
      </c>
      <c r="BD90" s="88">
        <v>39</v>
      </c>
      <c r="BE90" s="88">
        <v>40</v>
      </c>
      <c r="BF90" s="88">
        <v>41</v>
      </c>
      <c r="BG90" s="88">
        <v>42</v>
      </c>
      <c r="BH90" s="88">
        <v>43</v>
      </c>
      <c r="BI90" s="88">
        <v>44</v>
      </c>
      <c r="BJ90" s="88">
        <v>45</v>
      </c>
      <c r="BK90" s="88">
        <v>46</v>
      </c>
      <c r="BL90" s="88">
        <v>47</v>
      </c>
      <c r="BM90" s="88">
        <v>48</v>
      </c>
      <c r="BN90" s="80"/>
    </row>
    <row r="91" spans="2:66" ht="18.75" x14ac:dyDescent="0.35">
      <c r="B91" s="201"/>
      <c r="C91" s="30"/>
      <c r="D91" s="41"/>
      <c r="E91" s="41"/>
      <c r="F91" s="132" t="s">
        <v>130</v>
      </c>
      <c r="G91" s="30"/>
      <c r="H91" s="83" t="s">
        <v>29</v>
      </c>
      <c r="I91" s="157"/>
      <c r="J91" s="80"/>
      <c r="K91" s="81"/>
      <c r="L91" s="82" t="s">
        <v>51</v>
      </c>
      <c r="M91" s="82" t="s">
        <v>99</v>
      </c>
      <c r="N91" s="82" t="s">
        <v>68</v>
      </c>
      <c r="O91" s="81"/>
      <c r="P91" s="30"/>
      <c r="Q91" s="83" t="s">
        <v>35</v>
      </c>
      <c r="R91" s="158"/>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60"/>
      <c r="BN91" s="80"/>
    </row>
    <row r="92" spans="2:66" ht="18.75" x14ac:dyDescent="0.35">
      <c r="B92" s="201"/>
      <c r="C92" s="30"/>
      <c r="D92" s="41"/>
      <c r="E92" s="41"/>
      <c r="F92" s="132"/>
      <c r="G92" s="30"/>
      <c r="H92" s="77"/>
      <c r="I92" s="77"/>
      <c r="J92" s="80"/>
      <c r="K92" s="81"/>
      <c r="L92" s="175">
        <f>ROUND(IF(SUM(R91:BM91)=0,1.05,MAX(N92,N92^2)),2)</f>
        <v>1.05</v>
      </c>
      <c r="M92" s="84">
        <f>ROUND(IF(SUM(R91:BM91)=0,VIC_RLWP,SUMPRODUCT(R91:BM91,VIC_PHH)/SUM(R92:BM92)),2)</f>
        <v>35.83</v>
      </c>
      <c r="N92" s="84">
        <f>ROUND(M92/VIC_RLWP,2)</f>
        <v>1</v>
      </c>
      <c r="O92" s="81"/>
      <c r="P92" s="30"/>
      <c r="Q92" s="83" t="s">
        <v>36</v>
      </c>
      <c r="R92" s="161"/>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3"/>
      <c r="BN92" s="80"/>
    </row>
    <row r="93" spans="2:66" ht="18.75" x14ac:dyDescent="0.35">
      <c r="B93" s="201"/>
      <c r="C93" s="30"/>
      <c r="D93" s="41"/>
      <c r="E93" s="41"/>
      <c r="F93" s="132" t="s">
        <v>5</v>
      </c>
      <c r="G93" s="30"/>
      <c r="H93" s="83" t="s">
        <v>30</v>
      </c>
      <c r="I93" s="157"/>
      <c r="J93" s="80"/>
      <c r="K93" s="81"/>
      <c r="L93" s="46"/>
      <c r="M93" s="85"/>
      <c r="N93" s="85"/>
      <c r="O93" s="81"/>
      <c r="P93" s="30"/>
      <c r="Q93" s="83" t="s">
        <v>39</v>
      </c>
      <c r="R93" s="161"/>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3"/>
      <c r="BN93" s="80"/>
    </row>
    <row r="94" spans="2:66" ht="18.75" x14ac:dyDescent="0.35">
      <c r="B94" s="201"/>
      <c r="C94" s="30"/>
      <c r="D94" s="41"/>
      <c r="E94" s="41"/>
      <c r="F94" s="132" t="s">
        <v>6</v>
      </c>
      <c r="G94" s="30"/>
      <c r="H94" s="83" t="s">
        <v>31</v>
      </c>
      <c r="I94" s="157"/>
      <c r="J94" s="80"/>
      <c r="K94" s="81"/>
      <c r="L94" s="82" t="s">
        <v>52</v>
      </c>
      <c r="M94" s="82" t="s">
        <v>100</v>
      </c>
      <c r="N94" s="82" t="s">
        <v>69</v>
      </c>
      <c r="O94" s="81"/>
      <c r="P94" s="30"/>
      <c r="Q94" s="83" t="s">
        <v>40</v>
      </c>
      <c r="R94" s="161"/>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3"/>
      <c r="BN94" s="80"/>
    </row>
    <row r="95" spans="2:66" ht="18.75" x14ac:dyDescent="0.35">
      <c r="B95" s="201"/>
      <c r="C95" s="30"/>
      <c r="D95" s="41"/>
      <c r="E95" s="41"/>
      <c r="F95" s="132" t="s">
        <v>7</v>
      </c>
      <c r="G95" s="30"/>
      <c r="H95" s="83" t="s">
        <v>54</v>
      </c>
      <c r="I95" s="157"/>
      <c r="J95" s="80"/>
      <c r="K95" s="81"/>
      <c r="L95" s="175">
        <f>ROUND(IF(SUM(R98:BM98)=0,0.95,MAX(N95,N95^2)),2)</f>
        <v>0.95</v>
      </c>
      <c r="M95" s="84">
        <f>ROUND(IF(SUM(R98:BM98)=0,VIC_RLWP,SUMPRODUCT(R98:BM98,VIC_PHH)/SUM(R99:BM99)),2)</f>
        <v>35.83</v>
      </c>
      <c r="N95" s="84">
        <f>ROUND(M95/VIC_RLWP,2)</f>
        <v>1</v>
      </c>
      <c r="O95" s="81"/>
      <c r="P95" s="30"/>
      <c r="Q95" s="83" t="s">
        <v>60</v>
      </c>
      <c r="R95" s="161"/>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3"/>
      <c r="BN95" s="80"/>
    </row>
    <row r="96" spans="2:66" ht="18.75" x14ac:dyDescent="0.35">
      <c r="B96" s="201"/>
      <c r="C96" s="30"/>
      <c r="D96" s="41"/>
      <c r="E96" s="41"/>
      <c r="F96" s="132"/>
      <c r="G96" s="30"/>
      <c r="H96" s="83" t="s">
        <v>55</v>
      </c>
      <c r="I96" s="157"/>
      <c r="J96" s="80"/>
      <c r="K96" s="81"/>
      <c r="L96" s="46"/>
      <c r="M96" s="85"/>
      <c r="N96" s="85"/>
      <c r="O96" s="81"/>
      <c r="P96" s="30"/>
      <c r="Q96" s="83" t="s">
        <v>61</v>
      </c>
      <c r="R96" s="161"/>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3"/>
      <c r="BN96" s="80"/>
    </row>
    <row r="97" spans="2:66" ht="18.75" x14ac:dyDescent="0.35">
      <c r="B97" s="201"/>
      <c r="C97" s="30"/>
      <c r="D97" s="41"/>
      <c r="E97" s="41"/>
      <c r="F97" s="132"/>
      <c r="G97" s="30"/>
      <c r="H97" s="83" t="s">
        <v>56</v>
      </c>
      <c r="I97" s="157"/>
      <c r="J97" s="80"/>
      <c r="K97" s="81"/>
      <c r="L97" s="82" t="s">
        <v>53</v>
      </c>
      <c r="M97" s="82" t="s">
        <v>101</v>
      </c>
      <c r="N97" s="82" t="s">
        <v>76</v>
      </c>
      <c r="O97" s="81"/>
      <c r="P97" s="30"/>
      <c r="Q97" s="83" t="s">
        <v>62</v>
      </c>
      <c r="R97" s="161"/>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3"/>
      <c r="BN97" s="80"/>
    </row>
    <row r="98" spans="2:66" ht="18.75" x14ac:dyDescent="0.35">
      <c r="B98" s="201"/>
      <c r="C98" s="30"/>
      <c r="D98" s="41"/>
      <c r="E98" s="41"/>
      <c r="F98" s="132" t="s">
        <v>131</v>
      </c>
      <c r="G98" s="30"/>
      <c r="H98" s="83" t="s">
        <v>32</v>
      </c>
      <c r="I98" s="157"/>
      <c r="J98" s="80"/>
      <c r="K98" s="81"/>
      <c r="L98" s="175">
        <f>ROUND(MAX(N98,N98^2),2)</f>
        <v>1</v>
      </c>
      <c r="M98" s="84">
        <f>ROUND(IF(SUM(R105:BM105)=0,VIC_RLWP,SUMPRODUCT(R105:BM105,VIC_PHH)/SUM(R105:BM105)),2)</f>
        <v>35.83</v>
      </c>
      <c r="N98" s="84">
        <f>ROUND(M98/VIC_RLWP,2)</f>
        <v>1</v>
      </c>
      <c r="O98" s="81"/>
      <c r="P98" s="30"/>
      <c r="Q98" s="83" t="s">
        <v>37</v>
      </c>
      <c r="R98" s="161"/>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3"/>
      <c r="BN98" s="80"/>
    </row>
    <row r="99" spans="2:66" ht="18.75" x14ac:dyDescent="0.35">
      <c r="B99" s="201"/>
      <c r="C99" s="30"/>
      <c r="D99" s="41"/>
      <c r="E99" s="41"/>
      <c r="F99" s="132"/>
      <c r="G99" s="30"/>
      <c r="H99" s="77"/>
      <c r="I99" s="77"/>
      <c r="J99" s="80"/>
      <c r="K99" s="81"/>
      <c r="L99" s="46"/>
      <c r="M99" s="85"/>
      <c r="N99" s="85"/>
      <c r="O99" s="81"/>
      <c r="P99" s="30"/>
      <c r="Q99" s="83" t="s">
        <v>38</v>
      </c>
      <c r="R99" s="161"/>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3"/>
      <c r="BN99" s="80"/>
    </row>
    <row r="100" spans="2:66" ht="18.75" x14ac:dyDescent="0.35">
      <c r="B100" s="201"/>
      <c r="C100" s="30"/>
      <c r="D100" s="41"/>
      <c r="E100" s="41"/>
      <c r="F100" s="132" t="s">
        <v>8</v>
      </c>
      <c r="G100" s="30"/>
      <c r="H100" s="83" t="s">
        <v>33</v>
      </c>
      <c r="I100" s="157"/>
      <c r="J100" s="80"/>
      <c r="K100" s="81"/>
      <c r="L100" s="82" t="s">
        <v>82</v>
      </c>
      <c r="M100" s="82" t="s">
        <v>102</v>
      </c>
      <c r="N100" s="82" t="s">
        <v>80</v>
      </c>
      <c r="O100" s="81"/>
      <c r="P100" s="30"/>
      <c r="Q100" s="83" t="s">
        <v>41</v>
      </c>
      <c r="R100" s="161"/>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3"/>
      <c r="BN100" s="80"/>
    </row>
    <row r="101" spans="2:66" ht="18.75" x14ac:dyDescent="0.35">
      <c r="B101" s="201"/>
      <c r="C101" s="30"/>
      <c r="D101" s="41"/>
      <c r="E101" s="41"/>
      <c r="F101" s="132" t="s">
        <v>9</v>
      </c>
      <c r="G101" s="30"/>
      <c r="H101" s="83" t="s">
        <v>34</v>
      </c>
      <c r="I101" s="157"/>
      <c r="J101" s="80"/>
      <c r="K101" s="81"/>
      <c r="L101" s="175">
        <f>ROUND(MAX(N101,N101^2),2)</f>
        <v>1</v>
      </c>
      <c r="M101" s="84">
        <f>ROUND(IF(SUM(R106:BM106)=0,VIC_RLWPC100,SUMPRODUCT(R106:BM106,VIC_PHHC100)/SUM(R106:BM106)),2)</f>
        <v>28.84</v>
      </c>
      <c r="N101" s="84">
        <f>ROUND(M101/VIC_RLWPC100,2)</f>
        <v>1</v>
      </c>
      <c r="O101" s="81"/>
      <c r="P101" s="30"/>
      <c r="Q101" s="83" t="s">
        <v>42</v>
      </c>
      <c r="R101" s="161"/>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3"/>
      <c r="BN101" s="80"/>
    </row>
    <row r="102" spans="2:66" ht="18.75" x14ac:dyDescent="0.35">
      <c r="B102" s="201"/>
      <c r="C102" s="30"/>
      <c r="D102" s="41"/>
      <c r="E102" s="41"/>
      <c r="F102" s="132" t="s">
        <v>10</v>
      </c>
      <c r="G102" s="30"/>
      <c r="H102" s="83" t="s">
        <v>57</v>
      </c>
      <c r="I102" s="157"/>
      <c r="J102" s="80"/>
      <c r="K102" s="81"/>
      <c r="L102" s="2"/>
      <c r="O102" s="81"/>
      <c r="P102" s="30"/>
      <c r="Q102" s="83" t="s">
        <v>63</v>
      </c>
      <c r="R102" s="161"/>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3"/>
      <c r="BN102" s="80"/>
    </row>
    <row r="103" spans="2:66" ht="18.75" x14ac:dyDescent="0.35">
      <c r="B103" s="201"/>
      <c r="C103" s="30"/>
      <c r="D103" s="41"/>
      <c r="E103" s="41"/>
      <c r="F103" s="132"/>
      <c r="G103" s="30"/>
      <c r="H103" s="83" t="s">
        <v>58</v>
      </c>
      <c r="I103" s="157"/>
      <c r="J103" s="80"/>
      <c r="K103" s="81"/>
      <c r="L103" s="82" t="s">
        <v>79</v>
      </c>
      <c r="M103" s="82" t="s">
        <v>103</v>
      </c>
      <c r="N103" s="82" t="s">
        <v>81</v>
      </c>
      <c r="O103" s="81"/>
      <c r="P103" s="30"/>
      <c r="Q103" s="83" t="s">
        <v>64</v>
      </c>
      <c r="R103" s="161"/>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3"/>
      <c r="BN103" s="80"/>
    </row>
    <row r="104" spans="2:66" ht="18.75" x14ac:dyDescent="0.35">
      <c r="B104" s="201"/>
      <c r="C104" s="30"/>
      <c r="D104" s="41"/>
      <c r="E104" s="41"/>
      <c r="F104" s="132"/>
      <c r="G104" s="30"/>
      <c r="H104" s="83" t="s">
        <v>59</v>
      </c>
      <c r="I104" s="157"/>
      <c r="J104" s="80"/>
      <c r="K104" s="81"/>
      <c r="L104" s="175">
        <f>ROUND(MAX(N104,N104^2),2)</f>
        <v>1</v>
      </c>
      <c r="M104" s="84">
        <f>ROUND(IF(SUM(R107:BM107)=0,VIC_RLWPC200,SUMPRODUCT(R107:BM107,VIC_PHHC200)/SUM(R107:BM107)),2)</f>
        <v>29.78</v>
      </c>
      <c r="N104" s="84">
        <f>ROUND(M104/VIC_RLWPC200,2)</f>
        <v>1</v>
      </c>
      <c r="O104" s="81"/>
      <c r="P104" s="30"/>
      <c r="Q104" s="83" t="s">
        <v>65</v>
      </c>
      <c r="R104" s="161"/>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3"/>
      <c r="BN104" s="80"/>
    </row>
    <row r="105" spans="2:66" x14ac:dyDescent="0.25">
      <c r="B105" s="201"/>
      <c r="C105" s="30"/>
      <c r="D105" s="41"/>
      <c r="E105" s="41"/>
      <c r="F105" s="132"/>
      <c r="G105" s="30"/>
      <c r="H105" s="41"/>
      <c r="I105" s="41"/>
      <c r="J105" s="80"/>
      <c r="K105" s="81"/>
      <c r="L105" s="2"/>
      <c r="O105" s="81"/>
      <c r="P105" s="30"/>
      <c r="Q105" s="113" t="s">
        <v>66</v>
      </c>
      <c r="R105" s="114">
        <f>SUM(R93:R94)-SUM(R100:R101)</f>
        <v>0</v>
      </c>
      <c r="S105" s="115">
        <f t="shared" ref="S105:BM105" si="16">SUM(S93:S94)-SUM(S100:S101)</f>
        <v>0</v>
      </c>
      <c r="T105" s="115">
        <f t="shared" si="16"/>
        <v>0</v>
      </c>
      <c r="U105" s="115">
        <f t="shared" si="16"/>
        <v>0</v>
      </c>
      <c r="V105" s="115">
        <f t="shared" si="16"/>
        <v>0</v>
      </c>
      <c r="W105" s="115">
        <f t="shared" si="16"/>
        <v>0</v>
      </c>
      <c r="X105" s="115">
        <f t="shared" si="16"/>
        <v>0</v>
      </c>
      <c r="Y105" s="115">
        <f t="shared" si="16"/>
        <v>0</v>
      </c>
      <c r="Z105" s="115">
        <f t="shared" si="16"/>
        <v>0</v>
      </c>
      <c r="AA105" s="115">
        <f t="shared" si="16"/>
        <v>0</v>
      </c>
      <c r="AB105" s="115">
        <f t="shared" si="16"/>
        <v>0</v>
      </c>
      <c r="AC105" s="115">
        <f t="shared" si="16"/>
        <v>0</v>
      </c>
      <c r="AD105" s="115">
        <f t="shared" si="16"/>
        <v>0</v>
      </c>
      <c r="AE105" s="115">
        <f t="shared" si="16"/>
        <v>0</v>
      </c>
      <c r="AF105" s="115">
        <f t="shared" si="16"/>
        <v>0</v>
      </c>
      <c r="AG105" s="115">
        <f t="shared" si="16"/>
        <v>0</v>
      </c>
      <c r="AH105" s="115">
        <f t="shared" si="16"/>
        <v>0</v>
      </c>
      <c r="AI105" s="115">
        <f t="shared" si="16"/>
        <v>0</v>
      </c>
      <c r="AJ105" s="115">
        <f t="shared" si="16"/>
        <v>0</v>
      </c>
      <c r="AK105" s="115">
        <f t="shared" si="16"/>
        <v>0</v>
      </c>
      <c r="AL105" s="115">
        <f t="shared" si="16"/>
        <v>0</v>
      </c>
      <c r="AM105" s="115">
        <f t="shared" si="16"/>
        <v>0</v>
      </c>
      <c r="AN105" s="115">
        <f t="shared" si="16"/>
        <v>0</v>
      </c>
      <c r="AO105" s="115">
        <f t="shared" si="16"/>
        <v>0</v>
      </c>
      <c r="AP105" s="115">
        <f t="shared" si="16"/>
        <v>0</v>
      </c>
      <c r="AQ105" s="115">
        <f t="shared" si="16"/>
        <v>0</v>
      </c>
      <c r="AR105" s="115">
        <f t="shared" si="16"/>
        <v>0</v>
      </c>
      <c r="AS105" s="115">
        <f t="shared" si="16"/>
        <v>0</v>
      </c>
      <c r="AT105" s="115">
        <f t="shared" si="16"/>
        <v>0</v>
      </c>
      <c r="AU105" s="115">
        <f t="shared" si="16"/>
        <v>0</v>
      </c>
      <c r="AV105" s="115">
        <f t="shared" si="16"/>
        <v>0</v>
      </c>
      <c r="AW105" s="115">
        <f t="shared" si="16"/>
        <v>0</v>
      </c>
      <c r="AX105" s="115">
        <f t="shared" si="16"/>
        <v>0</v>
      </c>
      <c r="AY105" s="115">
        <f t="shared" si="16"/>
        <v>0</v>
      </c>
      <c r="AZ105" s="115">
        <f t="shared" si="16"/>
        <v>0</v>
      </c>
      <c r="BA105" s="115">
        <f t="shared" si="16"/>
        <v>0</v>
      </c>
      <c r="BB105" s="115">
        <f t="shared" si="16"/>
        <v>0</v>
      </c>
      <c r="BC105" s="115">
        <f t="shared" si="16"/>
        <v>0</v>
      </c>
      <c r="BD105" s="115">
        <f t="shared" si="16"/>
        <v>0</v>
      </c>
      <c r="BE105" s="115">
        <f t="shared" si="16"/>
        <v>0</v>
      </c>
      <c r="BF105" s="115">
        <f t="shared" si="16"/>
        <v>0</v>
      </c>
      <c r="BG105" s="115">
        <f t="shared" si="16"/>
        <v>0</v>
      </c>
      <c r="BH105" s="115">
        <f t="shared" si="16"/>
        <v>0</v>
      </c>
      <c r="BI105" s="115">
        <f t="shared" si="16"/>
        <v>0</v>
      </c>
      <c r="BJ105" s="115">
        <f t="shared" si="16"/>
        <v>0</v>
      </c>
      <c r="BK105" s="115">
        <f t="shared" si="16"/>
        <v>0</v>
      </c>
      <c r="BL105" s="115">
        <f t="shared" si="16"/>
        <v>0</v>
      </c>
      <c r="BM105" s="116">
        <f t="shared" si="16"/>
        <v>0</v>
      </c>
      <c r="BN105" s="80"/>
    </row>
    <row r="106" spans="2:66" ht="18.75" x14ac:dyDescent="0.35">
      <c r="B106" s="201"/>
      <c r="C106" s="30"/>
      <c r="D106" s="113" t="s">
        <v>137</v>
      </c>
      <c r="E106" s="156">
        <v>0</v>
      </c>
      <c r="F106" s="132"/>
      <c r="G106" s="30"/>
      <c r="H106" s="83" t="s">
        <v>43</v>
      </c>
      <c r="I106" s="157">
        <v>0</v>
      </c>
      <c r="J106" s="80"/>
      <c r="K106" s="81"/>
      <c r="L106" s="82" t="s">
        <v>78</v>
      </c>
      <c r="M106" s="82" t="s">
        <v>104</v>
      </c>
      <c r="N106" s="82" t="s">
        <v>77</v>
      </c>
      <c r="O106" s="81"/>
      <c r="P106" s="30"/>
      <c r="Q106" s="113" t="s">
        <v>67</v>
      </c>
      <c r="R106" s="114">
        <f>R95-R102</f>
        <v>0</v>
      </c>
      <c r="S106" s="115">
        <f t="shared" ref="S106:BM106" si="17">S95-S102</f>
        <v>0</v>
      </c>
      <c r="T106" s="115">
        <f t="shared" si="17"/>
        <v>0</v>
      </c>
      <c r="U106" s="115">
        <f t="shared" si="17"/>
        <v>0</v>
      </c>
      <c r="V106" s="115">
        <f t="shared" si="17"/>
        <v>0</v>
      </c>
      <c r="W106" s="115">
        <f t="shared" si="17"/>
        <v>0</v>
      </c>
      <c r="X106" s="115">
        <f t="shared" si="17"/>
        <v>0</v>
      </c>
      <c r="Y106" s="115">
        <f t="shared" si="17"/>
        <v>0</v>
      </c>
      <c r="Z106" s="115">
        <f t="shared" si="17"/>
        <v>0</v>
      </c>
      <c r="AA106" s="115">
        <f t="shared" si="17"/>
        <v>0</v>
      </c>
      <c r="AB106" s="115">
        <f t="shared" si="17"/>
        <v>0</v>
      </c>
      <c r="AC106" s="115">
        <f t="shared" si="17"/>
        <v>0</v>
      </c>
      <c r="AD106" s="115">
        <f t="shared" si="17"/>
        <v>0</v>
      </c>
      <c r="AE106" s="115">
        <f t="shared" si="17"/>
        <v>0</v>
      </c>
      <c r="AF106" s="115">
        <f t="shared" si="17"/>
        <v>0</v>
      </c>
      <c r="AG106" s="115">
        <f t="shared" si="17"/>
        <v>0</v>
      </c>
      <c r="AH106" s="115">
        <f t="shared" si="17"/>
        <v>0</v>
      </c>
      <c r="AI106" s="115">
        <f t="shared" si="17"/>
        <v>0</v>
      </c>
      <c r="AJ106" s="115">
        <f t="shared" si="17"/>
        <v>0</v>
      </c>
      <c r="AK106" s="115">
        <f t="shared" si="17"/>
        <v>0</v>
      </c>
      <c r="AL106" s="115">
        <f t="shared" si="17"/>
        <v>0</v>
      </c>
      <c r="AM106" s="115">
        <f t="shared" si="17"/>
        <v>0</v>
      </c>
      <c r="AN106" s="115">
        <f t="shared" si="17"/>
        <v>0</v>
      </c>
      <c r="AO106" s="115">
        <f t="shared" si="17"/>
        <v>0</v>
      </c>
      <c r="AP106" s="115">
        <f t="shared" si="17"/>
        <v>0</v>
      </c>
      <c r="AQ106" s="115">
        <f t="shared" si="17"/>
        <v>0</v>
      </c>
      <c r="AR106" s="115">
        <f t="shared" si="17"/>
        <v>0</v>
      </c>
      <c r="AS106" s="115">
        <f t="shared" si="17"/>
        <v>0</v>
      </c>
      <c r="AT106" s="115">
        <f t="shared" si="17"/>
        <v>0</v>
      </c>
      <c r="AU106" s="115">
        <f t="shared" si="17"/>
        <v>0</v>
      </c>
      <c r="AV106" s="115">
        <f t="shared" si="17"/>
        <v>0</v>
      </c>
      <c r="AW106" s="115">
        <f t="shared" si="17"/>
        <v>0</v>
      </c>
      <c r="AX106" s="115">
        <f t="shared" si="17"/>
        <v>0</v>
      </c>
      <c r="AY106" s="115">
        <f t="shared" si="17"/>
        <v>0</v>
      </c>
      <c r="AZ106" s="115">
        <f t="shared" si="17"/>
        <v>0</v>
      </c>
      <c r="BA106" s="115">
        <f t="shared" si="17"/>
        <v>0</v>
      </c>
      <c r="BB106" s="115">
        <f t="shared" si="17"/>
        <v>0</v>
      </c>
      <c r="BC106" s="115">
        <f t="shared" si="17"/>
        <v>0</v>
      </c>
      <c r="BD106" s="115">
        <f t="shared" si="17"/>
        <v>0</v>
      </c>
      <c r="BE106" s="115">
        <f t="shared" si="17"/>
        <v>0</v>
      </c>
      <c r="BF106" s="115">
        <f t="shared" si="17"/>
        <v>0</v>
      </c>
      <c r="BG106" s="115">
        <f t="shared" si="17"/>
        <v>0</v>
      </c>
      <c r="BH106" s="115">
        <f t="shared" si="17"/>
        <v>0</v>
      </c>
      <c r="BI106" s="115">
        <f t="shared" si="17"/>
        <v>0</v>
      </c>
      <c r="BJ106" s="115">
        <f t="shared" si="17"/>
        <v>0</v>
      </c>
      <c r="BK106" s="115">
        <f t="shared" si="17"/>
        <v>0</v>
      </c>
      <c r="BL106" s="115">
        <f t="shared" si="17"/>
        <v>0</v>
      </c>
      <c r="BM106" s="116">
        <f t="shared" si="17"/>
        <v>0</v>
      </c>
      <c r="BN106" s="80"/>
    </row>
    <row r="107" spans="2:66" ht="18.75" x14ac:dyDescent="0.35">
      <c r="B107" s="201"/>
      <c r="C107" s="30"/>
      <c r="D107" s="113" t="s">
        <v>138</v>
      </c>
      <c r="E107" s="156">
        <v>0</v>
      </c>
      <c r="F107" s="132"/>
      <c r="G107" s="30"/>
      <c r="H107" s="83" t="s">
        <v>44</v>
      </c>
      <c r="I107" s="157">
        <v>0</v>
      </c>
      <c r="J107" s="80"/>
      <c r="K107" s="81"/>
      <c r="L107" s="175">
        <f>ROUND(MAX(N107,N107^2),2)</f>
        <v>1</v>
      </c>
      <c r="M107" s="84">
        <f>ROUND(IF(SUM(R108:BM108)=0,VIC_RLWPC300,SUMPRODUCT(R108:BM108,VIC_PHHC300)/SUM(R108:BM108)),2)</f>
        <v>30.29</v>
      </c>
      <c r="N107" s="84">
        <f>ROUND(M107/VIC_RLWPC300,2)</f>
        <v>1</v>
      </c>
      <c r="O107" s="81"/>
      <c r="P107" s="30"/>
      <c r="Q107" s="113" t="s">
        <v>83</v>
      </c>
      <c r="R107" s="114">
        <f t="shared" ref="R107:BM107" si="18">R96-R103</f>
        <v>0</v>
      </c>
      <c r="S107" s="115">
        <f t="shared" si="18"/>
        <v>0</v>
      </c>
      <c r="T107" s="115">
        <f t="shared" si="18"/>
        <v>0</v>
      </c>
      <c r="U107" s="115">
        <f t="shared" si="18"/>
        <v>0</v>
      </c>
      <c r="V107" s="115">
        <f t="shared" si="18"/>
        <v>0</v>
      </c>
      <c r="W107" s="115">
        <f t="shared" si="18"/>
        <v>0</v>
      </c>
      <c r="X107" s="115">
        <f t="shared" si="18"/>
        <v>0</v>
      </c>
      <c r="Y107" s="115">
        <f t="shared" si="18"/>
        <v>0</v>
      </c>
      <c r="Z107" s="115">
        <f t="shared" si="18"/>
        <v>0</v>
      </c>
      <c r="AA107" s="115">
        <f t="shared" si="18"/>
        <v>0</v>
      </c>
      <c r="AB107" s="115">
        <f t="shared" si="18"/>
        <v>0</v>
      </c>
      <c r="AC107" s="115">
        <f t="shared" si="18"/>
        <v>0</v>
      </c>
      <c r="AD107" s="115">
        <f t="shared" si="18"/>
        <v>0</v>
      </c>
      <c r="AE107" s="115">
        <f t="shared" si="18"/>
        <v>0</v>
      </c>
      <c r="AF107" s="115">
        <f t="shared" si="18"/>
        <v>0</v>
      </c>
      <c r="AG107" s="115">
        <f t="shared" si="18"/>
        <v>0</v>
      </c>
      <c r="AH107" s="115">
        <f t="shared" si="18"/>
        <v>0</v>
      </c>
      <c r="AI107" s="115">
        <f t="shared" si="18"/>
        <v>0</v>
      </c>
      <c r="AJ107" s="115">
        <f t="shared" si="18"/>
        <v>0</v>
      </c>
      <c r="AK107" s="115">
        <f t="shared" si="18"/>
        <v>0</v>
      </c>
      <c r="AL107" s="115">
        <f t="shared" si="18"/>
        <v>0</v>
      </c>
      <c r="AM107" s="115">
        <f t="shared" si="18"/>
        <v>0</v>
      </c>
      <c r="AN107" s="115">
        <f t="shared" si="18"/>
        <v>0</v>
      </c>
      <c r="AO107" s="115">
        <f t="shared" si="18"/>
        <v>0</v>
      </c>
      <c r="AP107" s="115">
        <f t="shared" si="18"/>
        <v>0</v>
      </c>
      <c r="AQ107" s="115">
        <f t="shared" si="18"/>
        <v>0</v>
      </c>
      <c r="AR107" s="115">
        <f t="shared" si="18"/>
        <v>0</v>
      </c>
      <c r="AS107" s="115">
        <f t="shared" si="18"/>
        <v>0</v>
      </c>
      <c r="AT107" s="115">
        <f t="shared" si="18"/>
        <v>0</v>
      </c>
      <c r="AU107" s="115">
        <f t="shared" si="18"/>
        <v>0</v>
      </c>
      <c r="AV107" s="115">
        <f t="shared" si="18"/>
        <v>0</v>
      </c>
      <c r="AW107" s="115">
        <f t="shared" si="18"/>
        <v>0</v>
      </c>
      <c r="AX107" s="115">
        <f t="shared" si="18"/>
        <v>0</v>
      </c>
      <c r="AY107" s="115">
        <f t="shared" si="18"/>
        <v>0</v>
      </c>
      <c r="AZ107" s="115">
        <f t="shared" si="18"/>
        <v>0</v>
      </c>
      <c r="BA107" s="115">
        <f t="shared" si="18"/>
        <v>0</v>
      </c>
      <c r="BB107" s="115">
        <f t="shared" si="18"/>
        <v>0</v>
      </c>
      <c r="BC107" s="115">
        <f t="shared" si="18"/>
        <v>0</v>
      </c>
      <c r="BD107" s="115">
        <f t="shared" si="18"/>
        <v>0</v>
      </c>
      <c r="BE107" s="115">
        <f t="shared" si="18"/>
        <v>0</v>
      </c>
      <c r="BF107" s="115">
        <f t="shared" si="18"/>
        <v>0</v>
      </c>
      <c r="BG107" s="115">
        <f t="shared" si="18"/>
        <v>0</v>
      </c>
      <c r="BH107" s="115">
        <f t="shared" si="18"/>
        <v>0</v>
      </c>
      <c r="BI107" s="115">
        <f t="shared" si="18"/>
        <v>0</v>
      </c>
      <c r="BJ107" s="115">
        <f t="shared" si="18"/>
        <v>0</v>
      </c>
      <c r="BK107" s="115">
        <f t="shared" si="18"/>
        <v>0</v>
      </c>
      <c r="BL107" s="115">
        <f t="shared" si="18"/>
        <v>0</v>
      </c>
      <c r="BM107" s="116">
        <f t="shared" si="18"/>
        <v>0</v>
      </c>
      <c r="BN107" s="80"/>
    </row>
    <row r="108" spans="2:66" x14ac:dyDescent="0.25">
      <c r="B108" s="201"/>
      <c r="C108" s="30"/>
      <c r="D108" s="41"/>
      <c r="E108" s="41"/>
      <c r="F108" s="132"/>
      <c r="G108" s="30"/>
      <c r="H108" s="41"/>
      <c r="I108" s="41"/>
      <c r="J108" s="80"/>
      <c r="K108" s="81"/>
      <c r="L108" s="2"/>
      <c r="O108" s="81"/>
      <c r="P108" s="30"/>
      <c r="Q108" s="113" t="s">
        <v>84</v>
      </c>
      <c r="R108" s="117">
        <f>R97-R104</f>
        <v>0</v>
      </c>
      <c r="S108" s="118">
        <f t="shared" ref="S108:BM108" si="19">S97-S104</f>
        <v>0</v>
      </c>
      <c r="T108" s="118">
        <f t="shared" si="19"/>
        <v>0</v>
      </c>
      <c r="U108" s="118">
        <f t="shared" si="19"/>
        <v>0</v>
      </c>
      <c r="V108" s="118">
        <f t="shared" si="19"/>
        <v>0</v>
      </c>
      <c r="W108" s="118">
        <f t="shared" si="19"/>
        <v>0</v>
      </c>
      <c r="X108" s="118">
        <f t="shared" si="19"/>
        <v>0</v>
      </c>
      <c r="Y108" s="118">
        <f t="shared" si="19"/>
        <v>0</v>
      </c>
      <c r="Z108" s="118">
        <f t="shared" si="19"/>
        <v>0</v>
      </c>
      <c r="AA108" s="118">
        <f t="shared" si="19"/>
        <v>0</v>
      </c>
      <c r="AB108" s="118">
        <f t="shared" si="19"/>
        <v>0</v>
      </c>
      <c r="AC108" s="118">
        <f t="shared" si="19"/>
        <v>0</v>
      </c>
      <c r="AD108" s="118">
        <f t="shared" si="19"/>
        <v>0</v>
      </c>
      <c r="AE108" s="118">
        <f t="shared" si="19"/>
        <v>0</v>
      </c>
      <c r="AF108" s="118">
        <f t="shared" si="19"/>
        <v>0</v>
      </c>
      <c r="AG108" s="118">
        <f t="shared" si="19"/>
        <v>0</v>
      </c>
      <c r="AH108" s="118">
        <f t="shared" si="19"/>
        <v>0</v>
      </c>
      <c r="AI108" s="118">
        <f t="shared" si="19"/>
        <v>0</v>
      </c>
      <c r="AJ108" s="118">
        <f t="shared" si="19"/>
        <v>0</v>
      </c>
      <c r="AK108" s="118">
        <f t="shared" si="19"/>
        <v>0</v>
      </c>
      <c r="AL108" s="118">
        <f t="shared" si="19"/>
        <v>0</v>
      </c>
      <c r="AM108" s="118">
        <f t="shared" si="19"/>
        <v>0</v>
      </c>
      <c r="AN108" s="118">
        <f t="shared" si="19"/>
        <v>0</v>
      </c>
      <c r="AO108" s="118">
        <f t="shared" si="19"/>
        <v>0</v>
      </c>
      <c r="AP108" s="118">
        <f t="shared" si="19"/>
        <v>0</v>
      </c>
      <c r="AQ108" s="118">
        <f t="shared" si="19"/>
        <v>0</v>
      </c>
      <c r="AR108" s="118">
        <f t="shared" si="19"/>
        <v>0</v>
      </c>
      <c r="AS108" s="118">
        <f t="shared" si="19"/>
        <v>0</v>
      </c>
      <c r="AT108" s="118">
        <f t="shared" si="19"/>
        <v>0</v>
      </c>
      <c r="AU108" s="118">
        <f t="shared" si="19"/>
        <v>0</v>
      </c>
      <c r="AV108" s="118">
        <f t="shared" si="19"/>
        <v>0</v>
      </c>
      <c r="AW108" s="118">
        <f t="shared" si="19"/>
        <v>0</v>
      </c>
      <c r="AX108" s="118">
        <f t="shared" si="19"/>
        <v>0</v>
      </c>
      <c r="AY108" s="118">
        <f t="shared" si="19"/>
        <v>0</v>
      </c>
      <c r="AZ108" s="118">
        <f t="shared" si="19"/>
        <v>0</v>
      </c>
      <c r="BA108" s="118">
        <f t="shared" si="19"/>
        <v>0</v>
      </c>
      <c r="BB108" s="118">
        <f t="shared" si="19"/>
        <v>0</v>
      </c>
      <c r="BC108" s="118">
        <f t="shared" si="19"/>
        <v>0</v>
      </c>
      <c r="BD108" s="118">
        <f t="shared" si="19"/>
        <v>0</v>
      </c>
      <c r="BE108" s="118">
        <f t="shared" si="19"/>
        <v>0</v>
      </c>
      <c r="BF108" s="118">
        <f t="shared" si="19"/>
        <v>0</v>
      </c>
      <c r="BG108" s="118">
        <f t="shared" si="19"/>
        <v>0</v>
      </c>
      <c r="BH108" s="118">
        <f t="shared" si="19"/>
        <v>0</v>
      </c>
      <c r="BI108" s="118">
        <f t="shared" si="19"/>
        <v>0</v>
      </c>
      <c r="BJ108" s="118">
        <f t="shared" si="19"/>
        <v>0</v>
      </c>
      <c r="BK108" s="118">
        <f t="shared" si="19"/>
        <v>0</v>
      </c>
      <c r="BL108" s="118">
        <f t="shared" si="19"/>
        <v>0</v>
      </c>
      <c r="BM108" s="119">
        <f t="shared" si="19"/>
        <v>0</v>
      </c>
      <c r="BN108" s="80"/>
    </row>
    <row r="109" spans="2:66" ht="5.25" customHeight="1" x14ac:dyDescent="0.25">
      <c r="B109" s="202"/>
      <c r="C109" s="130"/>
      <c r="D109" s="55"/>
      <c r="E109" s="55"/>
      <c r="F109" s="78"/>
      <c r="G109" s="72"/>
      <c r="H109" s="73"/>
      <c r="I109" s="73"/>
      <c r="J109" s="87"/>
      <c r="K109" s="86"/>
      <c r="L109" s="121"/>
      <c r="M109" s="86"/>
      <c r="N109" s="86"/>
      <c r="O109" s="86"/>
      <c r="P109" s="72"/>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7"/>
    </row>
  </sheetData>
  <sheetProtection formatCells="0" formatColumns="0" formatRows="0"/>
  <mergeCells count="11">
    <mergeCell ref="B26:B46"/>
    <mergeCell ref="B47:B67"/>
    <mergeCell ref="B68:B88"/>
    <mergeCell ref="B89:B109"/>
    <mergeCell ref="Z2:AA2"/>
    <mergeCell ref="V2:W2"/>
    <mergeCell ref="T2:U2"/>
    <mergeCell ref="R2:S2"/>
    <mergeCell ref="B5:B25"/>
    <mergeCell ref="J2:L2"/>
    <mergeCell ref="X2:Y2"/>
  </mergeCells>
  <dataValidations count="2">
    <dataValidation type="custom" errorStyle="information" allowBlank="1" showErrorMessage="1" errorTitle="Overriding Calculated Cell" error="This cell contains an excel function. Changing this cell will overwrite the function with the value that you will input. Click “OK” if you want to continue." sqref="L8 L11 L14 L17 L20 L23 L29 L32 L35 L38 L41 L44 L50 L53 L56 L59 L62 L65 L71 L74 L77 L80 L83 L86 L92 L95 L98 L101 L104 L107">
      <formula1>_xlfn.ISFORMULA(L8)</formula1>
    </dataValidation>
    <dataValidation type="list" allowBlank="1" showInputMessage="1" showErrorMessage="1" sqref="M2">
      <formula1>"Yes,No"</formula1>
    </dataValidation>
  </dataValidations>
  <hyperlinks>
    <hyperlink ref="V2" location="ParticipantData!B48" display="SA"/>
    <hyperlink ref="Z2:AA2" location="ParticipantData!B90" tooltip="VIC" display="VIC"/>
    <hyperlink ref="R2" location="ParticipantData!B6" display="NSW"/>
    <hyperlink ref="T2:U2" location="ParticipantData!B27" tooltip="QLD" display="QLD"/>
    <hyperlink ref="R2:S2" location="ParticipantData!B6" tooltip="NSW" display="NSW"/>
    <hyperlink ref="V2:W2" location="ParticipantData!B48" tooltip="SA" display="SA"/>
    <hyperlink ref="X2" location="ParticipantData!B69" tooltip="TAS" display="TAS"/>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
  <sheetViews>
    <sheetView workbookViewId="0">
      <selection activeCell="B3" sqref="B3"/>
    </sheetView>
  </sheetViews>
  <sheetFormatPr defaultRowHeight="15" x14ac:dyDescent="0.25"/>
  <cols>
    <col min="1" max="1" width="10.85546875" style="165" bestFit="1" customWidth="1"/>
    <col min="2" max="2" width="114.7109375" style="165" customWidth="1"/>
    <col min="3" max="3" width="10.7109375" style="165" bestFit="1" customWidth="1"/>
  </cols>
  <sheetData>
    <row r="1" spans="1:3" x14ac:dyDescent="0.25">
      <c r="A1" s="164" t="s">
        <v>105</v>
      </c>
      <c r="B1" s="164" t="s">
        <v>106</v>
      </c>
      <c r="C1" s="164" t="s">
        <v>107</v>
      </c>
    </row>
    <row r="2" spans="1:3" x14ac:dyDescent="0.25">
      <c r="A2" s="165">
        <v>1</v>
      </c>
      <c r="B2" s="167" t="s">
        <v>140</v>
      </c>
      <c r="C2" s="166">
        <v>42537</v>
      </c>
    </row>
    <row r="3" spans="1:3" x14ac:dyDescent="0.25">
      <c r="B3" s="170"/>
      <c r="C3" s="166"/>
    </row>
    <row r="4" spans="1:3" x14ac:dyDescent="0.25">
      <c r="B4" s="170"/>
      <c r="C4" s="166"/>
    </row>
    <row r="5" spans="1:3" x14ac:dyDescent="0.25">
      <c r="C5" s="166"/>
    </row>
  </sheetData>
  <sheetProtection password="AFDE"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Pedro Riveros</DisplayName>
        <AccountId>66</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2</Value>
    </TaxCatchAll>
    <AEMODescription xmlns="a14523ce-dede-483e-883a-2d83261080bd" xsi:nil="true"/>
    <_dlc_DocId xmlns="a14523ce-dede-483e-883a-2d83261080bd">SETTPRUDENT-8-19778</_dlc_DocId>
    <_dlc_DocIdUrl xmlns="a14523ce-dede-483e-883a-2d83261080bd">
      <Url>http://sharedocs/sites/snp/_layouts/15/DocIdRedir.aspx?ID=SETTPRUDENT-8-19778</Url>
      <Description>SETTPRUDENT-8-19778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0B71F2E56E39F04BB370E2BC17BFA29C" ma:contentTypeVersion="35" ma:contentTypeDescription="" ma:contentTypeScope="" ma:versionID="71b27a90b5fea52ecb801c0c0f234c14">
  <xsd:schema xmlns:xsd="http://www.w3.org/2001/XMLSchema" xmlns:xs="http://www.w3.org/2001/XMLSchema" xmlns:p="http://schemas.microsoft.com/office/2006/metadata/properties" xmlns:ns2="a14523ce-dede-483e-883a-2d83261080bd" targetNamespace="http://schemas.microsoft.com/office/2006/metadata/properties" ma:root="true" ma:fieldsID="825fe1f3958d883da1c5686c302ee61c"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ec3a289c-a1b0-4779-9682-ab15160385b6}" ma:internalName="TaxCatchAll" ma:showField="CatchAllData" ma:web="a037c4b9-c17b-4356-82ca-dc45e5c28df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c3a289c-a1b0-4779-9682-ab15160385b6}" ma:internalName="TaxCatchAllLabel" ma:readOnly="true" ma:showField="CatchAllDataLabel" ma:web="a037c4b9-c17b-4356-82ca-dc45e5c28df1">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2;#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/sites/snp/p</xsnScope>
</customXsn>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545A1272-550E-4632-ABF7-2FD07D58C5D4}">
  <ds:schemaRefs>
    <ds:schemaRef ds:uri="a14523ce-dede-483e-883a-2d83261080bd"/>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02AEB2A-013D-4D7F-8EC1-5E620DBA378C}">
  <ds:schemaRefs>
    <ds:schemaRef ds:uri="http://schemas.microsoft.com/sharepoint/v3/contenttype/forms"/>
  </ds:schemaRefs>
</ds:datastoreItem>
</file>

<file path=customXml/itemProps3.xml><?xml version="1.0" encoding="utf-8"?>
<ds:datastoreItem xmlns:ds="http://schemas.openxmlformats.org/officeDocument/2006/customXml" ds:itemID="{0AF933A2-CEAE-4BC2-AA29-25557C31A232}">
  <ds:schemaRefs>
    <ds:schemaRef ds:uri="Microsoft.SharePoint.Taxonomy.ContentTypeSync"/>
  </ds:schemaRefs>
</ds:datastoreItem>
</file>

<file path=customXml/itemProps4.xml><?xml version="1.0" encoding="utf-8"?>
<ds:datastoreItem xmlns:ds="http://schemas.openxmlformats.org/officeDocument/2006/customXml" ds:itemID="{0CDEE982-2236-44D4-AE13-02DF87A68DE9}">
  <ds:schemaRefs>
    <ds:schemaRef ds:uri="http://schemas.microsoft.com/sharepoint/events"/>
  </ds:schemaRefs>
</ds:datastoreItem>
</file>

<file path=customXml/itemProps5.xml><?xml version="1.0" encoding="utf-8"?>
<ds:datastoreItem xmlns:ds="http://schemas.openxmlformats.org/officeDocument/2006/customXml" ds:itemID="{7DA4C7A8-D45D-4C26-9762-7485B5A4A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5E4F598-AF6D-42A8-B5FF-44FAD3605351}">
  <ds:schemaRefs>
    <ds:schemaRef ds:uri="http://schemas.microsoft.com/office/2006/metadata/customXsn"/>
  </ds:schemaRefs>
</ds:datastoreItem>
</file>

<file path=customXml/itemProps7.xml><?xml version="1.0" encoding="utf-8"?>
<ds:datastoreItem xmlns:ds="http://schemas.openxmlformats.org/officeDocument/2006/customXml" ds:itemID="{98713F10-80D7-4F7A-9071-7AAFB04E2B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171</vt:i4>
      </vt:variant>
    </vt:vector>
  </HeadingPairs>
  <TitlesOfParts>
    <vt:vector size="175" baseType="lpstr">
      <vt:lpstr>MCL</vt:lpstr>
      <vt:lpstr>RegionalData</vt:lpstr>
      <vt:lpstr>ParticipantData</vt:lpstr>
      <vt:lpstr>Version history</vt:lpstr>
      <vt:lpstr>GST</vt:lpstr>
      <vt:lpstr>NSW_EG</vt:lpstr>
      <vt:lpstr>NSW_EL</vt:lpstr>
      <vt:lpstr>NSW_P</vt:lpstr>
      <vt:lpstr>NSW_PCS</vt:lpstr>
      <vt:lpstr>NSW_PDS</vt:lpstr>
      <vt:lpstr>NSW_PHH</vt:lpstr>
      <vt:lpstr>NSW_PHHC100</vt:lpstr>
      <vt:lpstr>NSW_PHHC200</vt:lpstr>
      <vt:lpstr>NSW_PHHC300</vt:lpstr>
      <vt:lpstr>NSW_PRAFG</vt:lpstr>
      <vt:lpstr>NSW_PRAFL</vt:lpstr>
      <vt:lpstr>NSW_PRAFR</vt:lpstr>
      <vt:lpstr>NSW_PRAFRC100</vt:lpstr>
      <vt:lpstr>NSW_PRAFRC200</vt:lpstr>
      <vt:lpstr>NSW_PRAFRC300</vt:lpstr>
      <vt:lpstr>NSW_RC</vt:lpstr>
      <vt:lpstr>NSW_RCC100</vt:lpstr>
      <vt:lpstr>NSW_RCC200</vt:lpstr>
      <vt:lpstr>NSW_RCC300</vt:lpstr>
      <vt:lpstr>NSW_RCD</vt:lpstr>
      <vt:lpstr>NSW_RCS</vt:lpstr>
      <vt:lpstr>NSW_RD</vt:lpstr>
      <vt:lpstr>NSW_RDC100</vt:lpstr>
      <vt:lpstr>NSW_RDC200</vt:lpstr>
      <vt:lpstr>NSW_RDC300</vt:lpstr>
      <vt:lpstr>NSW_RDD</vt:lpstr>
      <vt:lpstr>NSW_RDS</vt:lpstr>
      <vt:lpstr>NSW_RLWP</vt:lpstr>
      <vt:lpstr>NSW_RLWPC100</vt:lpstr>
      <vt:lpstr>NSW_RLWPC200</vt:lpstr>
      <vt:lpstr>NSW_RLWPC300</vt:lpstr>
      <vt:lpstr>NSW_VFOSL</vt:lpstr>
      <vt:lpstr>NSW_VFPM</vt:lpstr>
      <vt:lpstr>PM_OFFSET</vt:lpstr>
      <vt:lpstr>ParticipantData!Print_Titles</vt:lpstr>
      <vt:lpstr>RegionalData!Print_Titles</vt:lpstr>
      <vt:lpstr>QLD_EG</vt:lpstr>
      <vt:lpstr>QLD_EL</vt:lpstr>
      <vt:lpstr>QLD_P</vt:lpstr>
      <vt:lpstr>QLD_PCS</vt:lpstr>
      <vt:lpstr>QLD_PDS</vt:lpstr>
      <vt:lpstr>QLD_PHH</vt:lpstr>
      <vt:lpstr>QLD_PHHC100</vt:lpstr>
      <vt:lpstr>QLD_PHHC200</vt:lpstr>
      <vt:lpstr>QLD_PHHC300</vt:lpstr>
      <vt:lpstr>QLD_PRAFG</vt:lpstr>
      <vt:lpstr>QLD_PRAFL</vt:lpstr>
      <vt:lpstr>QLD_PRAFR</vt:lpstr>
      <vt:lpstr>QLD_PRAFRC100</vt:lpstr>
      <vt:lpstr>QLD_PRAFRC200</vt:lpstr>
      <vt:lpstr>QLD_PRAFRC300</vt:lpstr>
      <vt:lpstr>QLD_RC</vt:lpstr>
      <vt:lpstr>QLD_RCC100</vt:lpstr>
      <vt:lpstr>QLD_RCC200</vt:lpstr>
      <vt:lpstr>QLD_RCC300</vt:lpstr>
      <vt:lpstr>QLD_RCD</vt:lpstr>
      <vt:lpstr>QLD_RCS</vt:lpstr>
      <vt:lpstr>QLD_RD</vt:lpstr>
      <vt:lpstr>QLD_RDC100</vt:lpstr>
      <vt:lpstr>QLD_RDC200</vt:lpstr>
      <vt:lpstr>QLD_RDC300</vt:lpstr>
      <vt:lpstr>QLD_RDD</vt:lpstr>
      <vt:lpstr>QLD_RDS</vt:lpstr>
      <vt:lpstr>QLD_RLWP</vt:lpstr>
      <vt:lpstr>QLD_RLWPC100</vt:lpstr>
      <vt:lpstr>QLD_RLWPC200</vt:lpstr>
      <vt:lpstr>QLD_RLWPC300</vt:lpstr>
      <vt:lpstr>QLD_VFOSL</vt:lpstr>
      <vt:lpstr>QLD_VFPM</vt:lpstr>
      <vt:lpstr>SA_EG</vt:lpstr>
      <vt:lpstr>SA_EL</vt:lpstr>
      <vt:lpstr>SA_P</vt:lpstr>
      <vt:lpstr>SA_PCS</vt:lpstr>
      <vt:lpstr>SA_PDS</vt:lpstr>
      <vt:lpstr>SA_PHH</vt:lpstr>
      <vt:lpstr>SA_PHHC100</vt:lpstr>
      <vt:lpstr>SA_PHHC200</vt:lpstr>
      <vt:lpstr>SA_PHHC300</vt:lpstr>
      <vt:lpstr>SA_PRAFG</vt:lpstr>
      <vt:lpstr>SA_PRAFL</vt:lpstr>
      <vt:lpstr>SA_PRAFR</vt:lpstr>
      <vt:lpstr>SA_PRAFRC100</vt:lpstr>
      <vt:lpstr>SA_PRAFRC200</vt:lpstr>
      <vt:lpstr>SA_PRAFRC300</vt:lpstr>
      <vt:lpstr>SA_RC</vt:lpstr>
      <vt:lpstr>SA_RCC100</vt:lpstr>
      <vt:lpstr>SA_RCC200</vt:lpstr>
      <vt:lpstr>SA_RCC300</vt:lpstr>
      <vt:lpstr>SA_RCD</vt:lpstr>
      <vt:lpstr>SA_RCS</vt:lpstr>
      <vt:lpstr>SA_RD</vt:lpstr>
      <vt:lpstr>SA_RDC100</vt:lpstr>
      <vt:lpstr>SA_RDC200</vt:lpstr>
      <vt:lpstr>SA_RDC300</vt:lpstr>
      <vt:lpstr>SA_RDD</vt:lpstr>
      <vt:lpstr>SA_RDS</vt:lpstr>
      <vt:lpstr>SA_RLWP</vt:lpstr>
      <vt:lpstr>SA_RLWPC100</vt:lpstr>
      <vt:lpstr>SA_RLWPC200</vt:lpstr>
      <vt:lpstr>SA_RLWPC300</vt:lpstr>
      <vt:lpstr>SA_VFOSL</vt:lpstr>
      <vt:lpstr>SA_VFPM</vt:lpstr>
      <vt:lpstr>TAS_EG</vt:lpstr>
      <vt:lpstr>TAS_EL</vt:lpstr>
      <vt:lpstr>TAS_P</vt:lpstr>
      <vt:lpstr>TAS_PCS</vt:lpstr>
      <vt:lpstr>TAS_PDS</vt:lpstr>
      <vt:lpstr>TAS_PHH</vt:lpstr>
      <vt:lpstr>TAS_PHHC100</vt:lpstr>
      <vt:lpstr>TAS_PHHC200</vt:lpstr>
      <vt:lpstr>TAS_PHHC300</vt:lpstr>
      <vt:lpstr>TAS_PRAFG</vt:lpstr>
      <vt:lpstr>TAS_PRAFL</vt:lpstr>
      <vt:lpstr>TAS_PRAFR</vt:lpstr>
      <vt:lpstr>TAS_PRAFRC100</vt:lpstr>
      <vt:lpstr>TAS_PRAFRC200</vt:lpstr>
      <vt:lpstr>TAS_PRAFRC300</vt:lpstr>
      <vt:lpstr>TAS_RC</vt:lpstr>
      <vt:lpstr>TAS_RCC100</vt:lpstr>
      <vt:lpstr>TAS_RCC200</vt:lpstr>
      <vt:lpstr>TAS_RCC300</vt:lpstr>
      <vt:lpstr>TAS_RCD</vt:lpstr>
      <vt:lpstr>TAS_RCS</vt:lpstr>
      <vt:lpstr>TAS_RD</vt:lpstr>
      <vt:lpstr>TAS_RDC100</vt:lpstr>
      <vt:lpstr>TAS_RDC200</vt:lpstr>
      <vt:lpstr>TAS_RDC300</vt:lpstr>
      <vt:lpstr>TAS_RDD</vt:lpstr>
      <vt:lpstr>TAS_RDS</vt:lpstr>
      <vt:lpstr>TAS_RLWP</vt:lpstr>
      <vt:lpstr>TAS_RLWPC100</vt:lpstr>
      <vt:lpstr>TAS_RLWPC200</vt:lpstr>
      <vt:lpstr>TAS_RLWPC300</vt:lpstr>
      <vt:lpstr>TAS_VFOSL</vt:lpstr>
      <vt:lpstr>TAS_VFPM</vt:lpstr>
      <vt:lpstr>TOSL</vt:lpstr>
      <vt:lpstr>TRP</vt:lpstr>
      <vt:lpstr>VIC_EG</vt:lpstr>
      <vt:lpstr>VIC_EL</vt:lpstr>
      <vt:lpstr>VIC_P</vt:lpstr>
      <vt:lpstr>VIC_PCS</vt:lpstr>
      <vt:lpstr>VIC_PDS</vt:lpstr>
      <vt:lpstr>VIC_PHH</vt:lpstr>
      <vt:lpstr>VIC_PHHC100</vt:lpstr>
      <vt:lpstr>VIC_PHHC200</vt:lpstr>
      <vt:lpstr>VIC_PHHC300</vt:lpstr>
      <vt:lpstr>VIC_PRAFG</vt:lpstr>
      <vt:lpstr>VIC_PRAFL</vt:lpstr>
      <vt:lpstr>VIC_PRAFR</vt:lpstr>
      <vt:lpstr>VIC_PRAFRC100</vt:lpstr>
      <vt:lpstr>VIC_PRAFRC200</vt:lpstr>
      <vt:lpstr>VIC_PRAFRC300</vt:lpstr>
      <vt:lpstr>VIC_RC</vt:lpstr>
      <vt:lpstr>VIC_RCC100</vt:lpstr>
      <vt:lpstr>VIC_RCC200</vt:lpstr>
      <vt:lpstr>VIC_RCC300</vt:lpstr>
      <vt:lpstr>VIC_RCD</vt:lpstr>
      <vt:lpstr>VIC_RCS</vt:lpstr>
      <vt:lpstr>VIC_RD</vt:lpstr>
      <vt:lpstr>VIC_RDC100</vt:lpstr>
      <vt:lpstr>VIC_RDC200</vt:lpstr>
      <vt:lpstr>VIC_RDC300</vt:lpstr>
      <vt:lpstr>VIC_RDD</vt:lpstr>
      <vt:lpstr>VIC_RDS</vt:lpstr>
      <vt:lpstr>VIC_RLWP</vt:lpstr>
      <vt:lpstr>VIC_RLWPC100</vt:lpstr>
      <vt:lpstr>VIC_RLWPC200</vt:lpstr>
      <vt:lpstr>VIC_RLWPC300</vt:lpstr>
      <vt:lpstr>VIC_VFOSL</vt:lpstr>
      <vt:lpstr>VIC_VFPM</vt:lpstr>
    </vt:vector>
  </TitlesOfParts>
  <Company>Taylor Fry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Sims</dc:creator>
  <cp:lastModifiedBy>Felicity Bodger</cp:lastModifiedBy>
  <cp:lastPrinted>2013-06-17T00:47:51Z</cp:lastPrinted>
  <dcterms:created xsi:type="dcterms:W3CDTF">2012-05-09T03:49:59Z</dcterms:created>
  <dcterms:modified xsi:type="dcterms:W3CDTF">2017-05-03T02:22:18Z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0x0101009BE89D58CAF0934CA32A20BCFFD353DC000B71F2E56E39F04BB370E2BC17BFA29C</vt:lpwstr>
  </property>
  <property fmtid="{D5CDD505-2E9C-101B-9397-08002B2CF9AE}" pid="3" name="AEMOKeywords">
    <vt:lpwstr/>
  </property>
  <property fmtid="{D5CDD505-2E9C-101B-9397-08002B2CF9AE}" pid="4" name="_dlc_DocIdItemGuid">
    <vt:lpwstr>47ad5006-bad1-4c44-87f6-63c6d696964b</vt:lpwstr>
  </property>
  <property fmtid="{D5CDD505-2E9C-101B-9397-08002B2CF9AE}" pid="5" name="_dlc_DocId">
    <vt:lpwstr>METERNSETTLE-76-10682</vt:lpwstr>
  </property>
  <property fmtid="{D5CDD505-2E9C-101B-9397-08002B2CF9AE}" pid="6" name="_dlc_DocIdUrl">
    <vt:lpwstr>http://sharedocs/sites/mns/NEMSettlements/_layouts/DocIdRedir.aspx?ID=METERNSETTLE-76-10682, METERNSETTLE-76-10682</vt:lpwstr>
  </property>
  <property fmtid="{D5CDD505-2E9C-101B-9397-08002B2CF9AE}" pid="7" name="AEMODocumentType">
    <vt:lpwstr>2;#Operational Record|859762f2-4462-42eb-9744-c955c7e2c540</vt:lpwstr>
  </property>
</Properties>
</file>