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8" windowWidth="14808" windowHeight="8016" tabRatio="959"/>
  </bookViews>
  <sheets>
    <sheet name="Introduction" sheetId="47" r:id="rId1"/>
    <sheet name="NPV_Summary" sheetId="22" r:id="rId2"/>
    <sheet name="Do Nothing" sheetId="35" r:id="rId3"/>
    <sheet name="Option1a" sheetId="36" r:id="rId4"/>
    <sheet name="Option1b" sheetId="37" r:id="rId5"/>
    <sheet name="Option2" sheetId="38" r:id="rId6"/>
    <sheet name="Option3a" sheetId="39" r:id="rId7"/>
    <sheet name="Option3b" sheetId="40" r:id="rId8"/>
    <sheet name="Option4a" sheetId="41" r:id="rId9"/>
    <sheet name="Option4b" sheetId="42" r:id="rId10"/>
    <sheet name="Option5" sheetId="43" r:id="rId11"/>
    <sheet name="Option6" sheetId="44" r:id="rId12"/>
    <sheet name="Option7" sheetId="45" r:id="rId13"/>
    <sheet name="Option8" sheetId="49" r:id="rId14"/>
    <sheet name="DoubleCircuit_MLTS-BATS" sheetId="28" r:id="rId15"/>
    <sheet name="DoubleCircuit_BATS-BETS" sheetId="30" r:id="rId16"/>
    <sheet name="Third_Line_MLTS-BATS" sheetId="31" r:id="rId17"/>
    <sheet name="WindMonitoring_BATS-BETS" sheetId="32" r:id="rId18"/>
    <sheet name="Base" sheetId="33" r:id="rId19"/>
    <sheet name="Base_Unconstraint" sheetId="34" r:id="rId20"/>
  </sheets>
  <calcPr calcId="145621"/>
</workbook>
</file>

<file path=xl/calcChain.xml><?xml version="1.0" encoding="utf-8"?>
<calcChain xmlns="http://schemas.openxmlformats.org/spreadsheetml/2006/main">
  <c r="F66" i="22" l="1"/>
  <c r="F67" i="22"/>
  <c r="F68" i="22"/>
  <c r="F69" i="22"/>
  <c r="F70" i="22"/>
  <c r="F71" i="22"/>
  <c r="F72" i="22"/>
  <c r="F73" i="22"/>
  <c r="F74" i="22"/>
  <c r="F65" i="22"/>
  <c r="G66" i="22" l="1"/>
  <c r="G67" i="22"/>
  <c r="G68" i="22"/>
  <c r="G69" i="22"/>
  <c r="G70" i="22"/>
  <c r="G65" i="22"/>
  <c r="E66" i="22"/>
  <c r="E67" i="22"/>
  <c r="E68" i="22"/>
  <c r="E69" i="22"/>
  <c r="E70" i="22"/>
  <c r="E65" i="22"/>
  <c r="D66" i="22"/>
  <c r="D67" i="22"/>
  <c r="D68" i="22"/>
  <c r="D69" i="22"/>
  <c r="D70" i="22"/>
  <c r="D65" i="22"/>
  <c r="C66" i="22"/>
  <c r="C67" i="22"/>
  <c r="C68" i="22"/>
  <c r="C69" i="22"/>
  <c r="C70" i="22"/>
  <c r="C71" i="22"/>
  <c r="C72" i="22"/>
  <c r="C73" i="22"/>
  <c r="C74" i="22"/>
  <c r="C65" i="22"/>
  <c r="B66" i="22"/>
  <c r="B67" i="22"/>
  <c r="B68" i="22"/>
  <c r="B69" i="22"/>
  <c r="B70" i="22"/>
  <c r="B71" i="22"/>
  <c r="B72" i="22"/>
  <c r="B73" i="22"/>
  <c r="B74" i="22"/>
  <c r="B65" i="22"/>
  <c r="D101" i="42" l="1"/>
  <c r="C101" i="42"/>
  <c r="B101" i="42"/>
  <c r="D100" i="42"/>
  <c r="C100" i="42"/>
  <c r="B100" i="42"/>
  <c r="D99" i="42"/>
  <c r="C99" i="42"/>
  <c r="B99" i="42"/>
  <c r="D98" i="42"/>
  <c r="C98" i="42"/>
  <c r="B98" i="42"/>
  <c r="D97" i="42"/>
  <c r="C97" i="42"/>
  <c r="B97" i="42"/>
  <c r="D96" i="42"/>
  <c r="C96" i="42"/>
  <c r="B96" i="42"/>
  <c r="D95" i="42"/>
  <c r="C95" i="42"/>
  <c r="B95" i="42"/>
  <c r="D94" i="42"/>
  <c r="C94" i="42"/>
  <c r="B94" i="42"/>
  <c r="D93" i="42"/>
  <c r="C93" i="42"/>
  <c r="B93" i="42"/>
  <c r="D92" i="42"/>
  <c r="C92" i="42"/>
  <c r="B92" i="42"/>
  <c r="D87" i="42"/>
  <c r="C87" i="42"/>
  <c r="B87" i="42"/>
  <c r="D86" i="42"/>
  <c r="C86" i="42"/>
  <c r="B86" i="42"/>
  <c r="D85" i="42"/>
  <c r="C85" i="42"/>
  <c r="B85" i="42"/>
  <c r="D84" i="42"/>
  <c r="C84" i="42"/>
  <c r="B84" i="42"/>
  <c r="D83" i="42"/>
  <c r="C83" i="42"/>
  <c r="B83" i="42"/>
  <c r="D82" i="42"/>
  <c r="C82" i="42"/>
  <c r="B82" i="42"/>
  <c r="D81" i="42"/>
  <c r="C81" i="42"/>
  <c r="B81" i="42"/>
  <c r="D80" i="42"/>
  <c r="C80" i="42"/>
  <c r="B80" i="42"/>
  <c r="D79" i="42"/>
  <c r="C79" i="42"/>
  <c r="B79" i="42"/>
  <c r="D78" i="42"/>
  <c r="C78" i="42"/>
  <c r="B78" i="42"/>
  <c r="D73" i="42"/>
  <c r="C73" i="42"/>
  <c r="B73" i="42"/>
  <c r="D72" i="42"/>
  <c r="C72" i="42"/>
  <c r="B72" i="42"/>
  <c r="D71" i="42"/>
  <c r="C71" i="42"/>
  <c r="B71" i="42"/>
  <c r="D70" i="42"/>
  <c r="C70" i="42"/>
  <c r="B70" i="42"/>
  <c r="D69" i="42"/>
  <c r="C69" i="42"/>
  <c r="B69" i="42"/>
  <c r="D68" i="42"/>
  <c r="C68" i="42"/>
  <c r="B68" i="42"/>
  <c r="D67" i="42"/>
  <c r="C67" i="42"/>
  <c r="B67" i="42"/>
  <c r="D66" i="42"/>
  <c r="C66" i="42"/>
  <c r="B66" i="42"/>
  <c r="D65" i="42"/>
  <c r="C65" i="42"/>
  <c r="B65" i="42"/>
  <c r="D64" i="42"/>
  <c r="C64" i="42"/>
  <c r="B64" i="42"/>
  <c r="D59" i="42"/>
  <c r="C59" i="42"/>
  <c r="B59" i="42"/>
  <c r="D58" i="42"/>
  <c r="C58" i="42"/>
  <c r="B58" i="42"/>
  <c r="D57" i="42"/>
  <c r="C57" i="42"/>
  <c r="B57" i="42"/>
  <c r="D56" i="42"/>
  <c r="C56" i="42"/>
  <c r="B56" i="42"/>
  <c r="D55" i="42"/>
  <c r="C55" i="42"/>
  <c r="B55" i="42"/>
  <c r="D54" i="42"/>
  <c r="C54" i="42"/>
  <c r="B54" i="42"/>
  <c r="D53" i="42"/>
  <c r="C53" i="42"/>
  <c r="B53" i="42"/>
  <c r="D52" i="42"/>
  <c r="C52" i="42"/>
  <c r="B52" i="42"/>
  <c r="D51" i="42"/>
  <c r="C51" i="42"/>
  <c r="B51" i="42"/>
  <c r="D50" i="42"/>
  <c r="C50" i="42"/>
  <c r="B50" i="42"/>
  <c r="B40" i="42"/>
  <c r="C40" i="42"/>
  <c r="D40" i="42"/>
  <c r="B41" i="42"/>
  <c r="C41" i="42"/>
  <c r="D41" i="42"/>
  <c r="B42" i="42"/>
  <c r="C42" i="42"/>
  <c r="D42" i="42"/>
  <c r="B43" i="42"/>
  <c r="C43" i="42"/>
  <c r="D43" i="42"/>
  <c r="B44" i="42"/>
  <c r="C44" i="42"/>
  <c r="D44" i="42"/>
  <c r="B45" i="42"/>
  <c r="C45" i="42"/>
  <c r="D45" i="42"/>
  <c r="B37" i="42"/>
  <c r="C37" i="42"/>
  <c r="D37" i="42"/>
  <c r="B38" i="42"/>
  <c r="C38" i="42"/>
  <c r="D38" i="42"/>
  <c r="B39" i="42"/>
  <c r="C39" i="42"/>
  <c r="D39" i="42"/>
  <c r="D36" i="42"/>
  <c r="C36" i="42"/>
  <c r="B36" i="42"/>
  <c r="D97" i="40"/>
  <c r="C97" i="40"/>
  <c r="B97" i="40"/>
  <c r="D96" i="40"/>
  <c r="C96" i="40"/>
  <c r="B96" i="40"/>
  <c r="D95" i="40"/>
  <c r="C95" i="40"/>
  <c r="B95" i="40"/>
  <c r="D94" i="40"/>
  <c r="C94" i="40"/>
  <c r="B94" i="40"/>
  <c r="D93" i="40"/>
  <c r="C93" i="40"/>
  <c r="B93" i="40"/>
  <c r="D92" i="40"/>
  <c r="C92" i="40"/>
  <c r="B92" i="40"/>
  <c r="D83" i="40"/>
  <c r="C83" i="40"/>
  <c r="B83" i="40"/>
  <c r="D82" i="40"/>
  <c r="C82" i="40"/>
  <c r="B82" i="40"/>
  <c r="D81" i="40"/>
  <c r="C81" i="40"/>
  <c r="B81" i="40"/>
  <c r="D80" i="40"/>
  <c r="C80" i="40"/>
  <c r="B80" i="40"/>
  <c r="D79" i="40"/>
  <c r="C79" i="40"/>
  <c r="B79" i="40"/>
  <c r="D78" i="40"/>
  <c r="C78" i="40"/>
  <c r="B78" i="40"/>
  <c r="D69" i="40"/>
  <c r="C69" i="40"/>
  <c r="B69" i="40"/>
  <c r="D68" i="40"/>
  <c r="C68" i="40"/>
  <c r="B68" i="40"/>
  <c r="D67" i="40"/>
  <c r="C67" i="40"/>
  <c r="B67" i="40"/>
  <c r="D66" i="40"/>
  <c r="C66" i="40"/>
  <c r="B66" i="40"/>
  <c r="D65" i="40"/>
  <c r="C65" i="40"/>
  <c r="B65" i="40"/>
  <c r="D64" i="40"/>
  <c r="C64" i="40"/>
  <c r="B64" i="40"/>
  <c r="D55" i="40"/>
  <c r="C55" i="40"/>
  <c r="B55" i="40"/>
  <c r="D54" i="40"/>
  <c r="C54" i="40"/>
  <c r="B54" i="40"/>
  <c r="D53" i="40"/>
  <c r="C53" i="40"/>
  <c r="B53" i="40"/>
  <c r="D52" i="40"/>
  <c r="C52" i="40"/>
  <c r="B52" i="40"/>
  <c r="D51" i="40"/>
  <c r="C51" i="40"/>
  <c r="B51" i="40"/>
  <c r="D50" i="40"/>
  <c r="C50" i="40"/>
  <c r="B50" i="40"/>
  <c r="B40" i="40"/>
  <c r="C40" i="40"/>
  <c r="D40" i="40"/>
  <c r="B41" i="40"/>
  <c r="C41" i="40"/>
  <c r="D41" i="40"/>
  <c r="B39" i="40"/>
  <c r="C39" i="40"/>
  <c r="D39" i="40"/>
  <c r="B37" i="40"/>
  <c r="C37" i="40"/>
  <c r="D37" i="40"/>
  <c r="B38" i="40"/>
  <c r="C38" i="40"/>
  <c r="D38" i="40"/>
  <c r="D36" i="40"/>
  <c r="C36" i="40"/>
  <c r="B36" i="40"/>
  <c r="B53" i="22" l="1"/>
  <c r="B54" i="22"/>
  <c r="B55" i="22"/>
  <c r="B56" i="22"/>
  <c r="B57" i="22"/>
  <c r="B58" i="22"/>
  <c r="B52" i="22"/>
  <c r="B38" i="22"/>
  <c r="D108" i="49"/>
  <c r="D109" i="49"/>
  <c r="D110" i="49"/>
  <c r="D111" i="49"/>
  <c r="D112" i="49"/>
  <c r="D113" i="49"/>
  <c r="D114" i="49"/>
  <c r="D115" i="49"/>
  <c r="D116" i="49"/>
  <c r="D107" i="49"/>
  <c r="C108" i="49"/>
  <c r="C109" i="49"/>
  <c r="C110" i="49"/>
  <c r="C111" i="49"/>
  <c r="C112" i="49"/>
  <c r="C113" i="49"/>
  <c r="C114" i="49"/>
  <c r="C115" i="49"/>
  <c r="C116" i="49"/>
  <c r="C107" i="49"/>
  <c r="D108" i="45"/>
  <c r="D109" i="45"/>
  <c r="D110" i="45"/>
  <c r="D111" i="45"/>
  <c r="D112" i="45"/>
  <c r="D113" i="45"/>
  <c r="D114" i="45"/>
  <c r="D115" i="45"/>
  <c r="D116" i="45"/>
  <c r="D107" i="45"/>
  <c r="C108" i="45"/>
  <c r="C109" i="45"/>
  <c r="C110" i="45"/>
  <c r="C111" i="45"/>
  <c r="C112" i="45"/>
  <c r="C113" i="45"/>
  <c r="C114" i="45"/>
  <c r="C115" i="45"/>
  <c r="C116" i="45"/>
  <c r="C107" i="45"/>
  <c r="D108" i="44"/>
  <c r="D109" i="44"/>
  <c r="D110" i="44"/>
  <c r="D111" i="44"/>
  <c r="D112" i="44"/>
  <c r="D113" i="44"/>
  <c r="D114" i="44"/>
  <c r="D115" i="44"/>
  <c r="D116" i="44"/>
  <c r="D107" i="44"/>
  <c r="C108" i="44"/>
  <c r="C109" i="44"/>
  <c r="C110" i="44"/>
  <c r="C111" i="44"/>
  <c r="C112" i="44"/>
  <c r="C113" i="44"/>
  <c r="C114" i="44"/>
  <c r="C115" i="44"/>
  <c r="C116" i="44"/>
  <c r="C107" i="44"/>
  <c r="D108" i="43"/>
  <c r="D109" i="43"/>
  <c r="D110" i="43"/>
  <c r="D111" i="43"/>
  <c r="D112" i="43"/>
  <c r="D113" i="43"/>
  <c r="D114" i="43"/>
  <c r="D115" i="43"/>
  <c r="D116" i="43"/>
  <c r="D107" i="43"/>
  <c r="C108" i="43"/>
  <c r="C109" i="43"/>
  <c r="C110" i="43"/>
  <c r="C111" i="43"/>
  <c r="C112" i="43"/>
  <c r="C113" i="43"/>
  <c r="C114" i="43"/>
  <c r="C115" i="43"/>
  <c r="C116" i="43"/>
  <c r="C107" i="43"/>
  <c r="D108" i="42"/>
  <c r="D107" i="42"/>
  <c r="C108" i="42"/>
  <c r="C107" i="42"/>
  <c r="D108" i="41"/>
  <c r="D109" i="41"/>
  <c r="D110" i="41"/>
  <c r="D111" i="41"/>
  <c r="D112" i="41"/>
  <c r="D113" i="41"/>
  <c r="D114" i="41"/>
  <c r="D115" i="41"/>
  <c r="D116" i="41"/>
  <c r="D107" i="41"/>
  <c r="C108" i="41"/>
  <c r="C109" i="41"/>
  <c r="C110" i="41"/>
  <c r="C111" i="41"/>
  <c r="C112" i="41"/>
  <c r="C113" i="41"/>
  <c r="C114" i="41"/>
  <c r="C115" i="41"/>
  <c r="C116" i="41"/>
  <c r="C107" i="41"/>
  <c r="D108" i="40"/>
  <c r="D107" i="40"/>
  <c r="C108" i="40"/>
  <c r="C107" i="40"/>
  <c r="D108" i="39"/>
  <c r="D109" i="39"/>
  <c r="D110" i="39"/>
  <c r="D111" i="39"/>
  <c r="D112" i="39"/>
  <c r="D113" i="39"/>
  <c r="D114" i="39"/>
  <c r="D115" i="39"/>
  <c r="D116" i="39"/>
  <c r="D107" i="39"/>
  <c r="C108" i="39"/>
  <c r="C109" i="39"/>
  <c r="C110" i="39"/>
  <c r="C111" i="39"/>
  <c r="C112" i="39"/>
  <c r="C113" i="39"/>
  <c r="C114" i="39"/>
  <c r="C115" i="39"/>
  <c r="C116" i="39"/>
  <c r="C107" i="39"/>
  <c r="D108" i="38"/>
  <c r="D109" i="38"/>
  <c r="D110" i="38"/>
  <c r="D111" i="38"/>
  <c r="D112" i="38"/>
  <c r="D113" i="38"/>
  <c r="D114" i="38"/>
  <c r="D115" i="38"/>
  <c r="D116" i="38"/>
  <c r="D107" i="38"/>
  <c r="C108" i="38"/>
  <c r="C109" i="38"/>
  <c r="C110" i="38"/>
  <c r="C111" i="38"/>
  <c r="C112" i="38"/>
  <c r="C113" i="38"/>
  <c r="C114" i="38"/>
  <c r="C115" i="38"/>
  <c r="C116" i="38"/>
  <c r="C107" i="38"/>
  <c r="D108" i="37"/>
  <c r="D109" i="37"/>
  <c r="D110" i="37"/>
  <c r="D111" i="37"/>
  <c r="D112" i="37"/>
  <c r="D113" i="37"/>
  <c r="D114" i="37"/>
  <c r="D115" i="37"/>
  <c r="D116" i="37"/>
  <c r="D107" i="37"/>
  <c r="C108" i="37"/>
  <c r="C109" i="37"/>
  <c r="C110" i="37"/>
  <c r="C111" i="37"/>
  <c r="C112" i="37"/>
  <c r="C113" i="37"/>
  <c r="C114" i="37"/>
  <c r="C115" i="37"/>
  <c r="C116" i="37"/>
  <c r="C107" i="37"/>
  <c r="D108" i="36"/>
  <c r="D109" i="36"/>
  <c r="D110" i="36"/>
  <c r="D111" i="36"/>
  <c r="D112" i="36"/>
  <c r="D113" i="36"/>
  <c r="D114" i="36"/>
  <c r="D115" i="36"/>
  <c r="D116" i="36"/>
  <c r="D107" i="36"/>
  <c r="C108" i="36"/>
  <c r="C109" i="36"/>
  <c r="C110" i="36"/>
  <c r="C111" i="36"/>
  <c r="C112" i="36"/>
  <c r="C113" i="36"/>
  <c r="C114" i="36"/>
  <c r="C115" i="36"/>
  <c r="C116" i="36"/>
  <c r="C107" i="36"/>
  <c r="G101" i="49"/>
  <c r="G100" i="49"/>
  <c r="G99" i="49"/>
  <c r="G98" i="49"/>
  <c r="G97" i="49"/>
  <c r="G96" i="49"/>
  <c r="G95" i="49"/>
  <c r="G94" i="49"/>
  <c r="G93" i="49"/>
  <c r="G92" i="49"/>
  <c r="G87" i="49"/>
  <c r="G86" i="49"/>
  <c r="G85" i="49"/>
  <c r="G84" i="49"/>
  <c r="G83" i="49"/>
  <c r="G82" i="49"/>
  <c r="G81" i="49"/>
  <c r="G80" i="49"/>
  <c r="G79" i="49"/>
  <c r="G78" i="49"/>
  <c r="G73" i="49"/>
  <c r="G72" i="49"/>
  <c r="G71" i="49"/>
  <c r="G70" i="49"/>
  <c r="G69" i="49"/>
  <c r="G68" i="49"/>
  <c r="G67" i="49"/>
  <c r="G66" i="49"/>
  <c r="G65" i="49"/>
  <c r="G64" i="49"/>
  <c r="G59" i="49"/>
  <c r="G58" i="49"/>
  <c r="G57" i="49"/>
  <c r="G56" i="49"/>
  <c r="G55" i="49"/>
  <c r="G54" i="49"/>
  <c r="G53" i="49"/>
  <c r="G52" i="49"/>
  <c r="G51" i="49"/>
  <c r="G50" i="49"/>
  <c r="G37" i="49"/>
  <c r="G38" i="49"/>
  <c r="G39" i="49"/>
  <c r="G40" i="49"/>
  <c r="G41" i="49"/>
  <c r="G42" i="49"/>
  <c r="G43" i="49"/>
  <c r="G44" i="49"/>
  <c r="G45" i="49"/>
  <c r="G36" i="49"/>
  <c r="J18" i="49"/>
  <c r="J19" i="49"/>
  <c r="J20" i="49"/>
  <c r="J21" i="49"/>
  <c r="J22" i="49"/>
  <c r="J23" i="49"/>
  <c r="J24" i="49"/>
  <c r="J25" i="49"/>
  <c r="J26" i="49"/>
  <c r="J17" i="49"/>
  <c r="F101" i="45"/>
  <c r="F100" i="45"/>
  <c r="F99" i="45"/>
  <c r="F98" i="45"/>
  <c r="F97" i="45"/>
  <c r="F96" i="45"/>
  <c r="F95" i="45"/>
  <c r="F94" i="45"/>
  <c r="F93" i="45"/>
  <c r="F92" i="45"/>
  <c r="F87" i="45"/>
  <c r="F86" i="45"/>
  <c r="F85" i="45"/>
  <c r="F84" i="45"/>
  <c r="F83" i="45"/>
  <c r="F82" i="45"/>
  <c r="F81" i="45"/>
  <c r="F80" i="45"/>
  <c r="F79" i="45"/>
  <c r="F78" i="45"/>
  <c r="F73" i="45"/>
  <c r="F72" i="45"/>
  <c r="F71" i="45"/>
  <c r="F70" i="45"/>
  <c r="F69" i="45"/>
  <c r="F68" i="45"/>
  <c r="F67" i="45"/>
  <c r="F66" i="45"/>
  <c r="F65" i="45"/>
  <c r="F64" i="45"/>
  <c r="F59" i="45"/>
  <c r="F58" i="45"/>
  <c r="F57" i="45"/>
  <c r="F56" i="45"/>
  <c r="F55" i="45"/>
  <c r="F54" i="45"/>
  <c r="F53" i="45"/>
  <c r="F52" i="45"/>
  <c r="F51" i="45"/>
  <c r="F50" i="45"/>
  <c r="F37" i="45"/>
  <c r="F38" i="45"/>
  <c r="F39" i="45"/>
  <c r="F40" i="45"/>
  <c r="F41" i="45"/>
  <c r="F42" i="45"/>
  <c r="F43" i="45"/>
  <c r="F44" i="45"/>
  <c r="F45" i="45"/>
  <c r="F36" i="45"/>
  <c r="I18" i="45"/>
  <c r="I19" i="45"/>
  <c r="I20" i="45"/>
  <c r="I21" i="45"/>
  <c r="I22" i="45"/>
  <c r="I23" i="45"/>
  <c r="I24" i="45"/>
  <c r="I25" i="45"/>
  <c r="I26" i="45"/>
  <c r="I17" i="45"/>
  <c r="F93" i="44"/>
  <c r="F94" i="44"/>
  <c r="F95" i="44"/>
  <c r="F96" i="44"/>
  <c r="F97" i="44"/>
  <c r="F98" i="44"/>
  <c r="F99" i="44"/>
  <c r="F100" i="44"/>
  <c r="F101" i="44"/>
  <c r="F92" i="44"/>
  <c r="F79" i="44"/>
  <c r="F80" i="44"/>
  <c r="F81" i="44"/>
  <c r="F82" i="44"/>
  <c r="F83" i="44"/>
  <c r="F84" i="44"/>
  <c r="F85" i="44"/>
  <c r="F86" i="44"/>
  <c r="F87" i="44"/>
  <c r="F78" i="44"/>
  <c r="F65" i="44"/>
  <c r="F66" i="44"/>
  <c r="F67" i="44"/>
  <c r="F68" i="44"/>
  <c r="F69" i="44"/>
  <c r="F70" i="44"/>
  <c r="F71" i="44"/>
  <c r="F72" i="44"/>
  <c r="F73" i="44"/>
  <c r="F64" i="44"/>
  <c r="F51" i="44"/>
  <c r="F52" i="44"/>
  <c r="F53" i="44"/>
  <c r="F54" i="44"/>
  <c r="F55" i="44"/>
  <c r="F56" i="44"/>
  <c r="F57" i="44"/>
  <c r="F58" i="44"/>
  <c r="F59" i="44"/>
  <c r="F50" i="44"/>
  <c r="F37" i="44"/>
  <c r="F38" i="44"/>
  <c r="F39" i="44"/>
  <c r="F40" i="44"/>
  <c r="F41" i="44"/>
  <c r="F42" i="44"/>
  <c r="F43" i="44"/>
  <c r="F44" i="44"/>
  <c r="F45" i="44"/>
  <c r="F36" i="44"/>
  <c r="I18" i="44"/>
  <c r="I19" i="44"/>
  <c r="I20" i="44"/>
  <c r="I21" i="44"/>
  <c r="I22" i="44"/>
  <c r="I23" i="44"/>
  <c r="I24" i="44"/>
  <c r="I25" i="44"/>
  <c r="I26" i="44"/>
  <c r="I17" i="44"/>
  <c r="F101" i="43"/>
  <c r="F100" i="43"/>
  <c r="F99" i="43"/>
  <c r="F98" i="43"/>
  <c r="F97" i="43"/>
  <c r="F96" i="43"/>
  <c r="F95" i="43"/>
  <c r="F94" i="43"/>
  <c r="F93" i="43"/>
  <c r="F92" i="43"/>
  <c r="F87" i="43"/>
  <c r="F86" i="43"/>
  <c r="F85" i="43"/>
  <c r="F84" i="43"/>
  <c r="F83" i="43"/>
  <c r="F82" i="43"/>
  <c r="F81" i="43"/>
  <c r="F80" i="43"/>
  <c r="F79" i="43"/>
  <c r="F78" i="43"/>
  <c r="F73" i="43"/>
  <c r="F72" i="43"/>
  <c r="F71" i="43"/>
  <c r="F70" i="43"/>
  <c r="F69" i="43"/>
  <c r="F68" i="43"/>
  <c r="F67" i="43"/>
  <c r="F66" i="43"/>
  <c r="F65" i="43"/>
  <c r="F64" i="43"/>
  <c r="F51" i="43"/>
  <c r="F52" i="43"/>
  <c r="F53" i="43"/>
  <c r="F54" i="43"/>
  <c r="F55" i="43"/>
  <c r="F56" i="43"/>
  <c r="F57" i="43"/>
  <c r="F58" i="43"/>
  <c r="F59" i="43"/>
  <c r="F50" i="43"/>
  <c r="F37" i="43"/>
  <c r="F38" i="43"/>
  <c r="F39" i="43"/>
  <c r="F40" i="43"/>
  <c r="F41" i="43"/>
  <c r="F42" i="43"/>
  <c r="F43" i="43"/>
  <c r="F44" i="43"/>
  <c r="F45" i="43"/>
  <c r="F36" i="43"/>
  <c r="I18" i="43"/>
  <c r="I19" i="43"/>
  <c r="I20" i="43"/>
  <c r="I21" i="43"/>
  <c r="I22" i="43"/>
  <c r="I23" i="43"/>
  <c r="I24" i="43"/>
  <c r="I25" i="43"/>
  <c r="I26" i="43"/>
  <c r="I17" i="43"/>
  <c r="F101" i="42"/>
  <c r="F100" i="42"/>
  <c r="F99" i="42"/>
  <c r="F98" i="42"/>
  <c r="F97" i="42"/>
  <c r="F96" i="42"/>
  <c r="F95" i="42"/>
  <c r="F94" i="42"/>
  <c r="F93" i="42"/>
  <c r="F92" i="42"/>
  <c r="F87" i="42"/>
  <c r="F86" i="42"/>
  <c r="F85" i="42"/>
  <c r="F84" i="42"/>
  <c r="F83" i="42"/>
  <c r="F82" i="42"/>
  <c r="F81" i="42"/>
  <c r="F80" i="42"/>
  <c r="F79" i="42"/>
  <c r="F78" i="42"/>
  <c r="F73" i="42"/>
  <c r="F72" i="42"/>
  <c r="F71" i="42"/>
  <c r="F70" i="42"/>
  <c r="F69" i="42"/>
  <c r="F68" i="42"/>
  <c r="F67" i="42"/>
  <c r="F66" i="42"/>
  <c r="F65" i="42"/>
  <c r="F64" i="42"/>
  <c r="F59" i="42"/>
  <c r="F58" i="42"/>
  <c r="F57" i="42"/>
  <c r="F56" i="42"/>
  <c r="F55" i="42"/>
  <c r="F54" i="42"/>
  <c r="F53" i="42"/>
  <c r="F52" i="42"/>
  <c r="F51" i="42"/>
  <c r="F50" i="42"/>
  <c r="F37" i="42"/>
  <c r="F38" i="42"/>
  <c r="F39" i="42"/>
  <c r="F40" i="42"/>
  <c r="F41" i="42"/>
  <c r="F42" i="42"/>
  <c r="F43" i="42"/>
  <c r="F44" i="42"/>
  <c r="F45" i="42"/>
  <c r="F36" i="42"/>
  <c r="I18" i="42"/>
  <c r="I17" i="42"/>
  <c r="I18" i="41"/>
  <c r="I19" i="41"/>
  <c r="I20" i="41"/>
  <c r="I21" i="41"/>
  <c r="I22" i="41"/>
  <c r="I23" i="41"/>
  <c r="I24" i="41"/>
  <c r="I25" i="41"/>
  <c r="I26" i="41"/>
  <c r="I17" i="41"/>
  <c r="F101" i="41"/>
  <c r="F100" i="41"/>
  <c r="F99" i="41"/>
  <c r="F98" i="41"/>
  <c r="F97" i="41"/>
  <c r="F96" i="41"/>
  <c r="F95" i="41"/>
  <c r="F94" i="41"/>
  <c r="F93" i="41"/>
  <c r="F92" i="41"/>
  <c r="F87" i="41"/>
  <c r="F86" i="41"/>
  <c r="F85" i="41"/>
  <c r="F84" i="41"/>
  <c r="F83" i="41"/>
  <c r="F82" i="41"/>
  <c r="F81" i="41"/>
  <c r="F80" i="41"/>
  <c r="F79" i="41"/>
  <c r="F78" i="41"/>
  <c r="F73" i="41"/>
  <c r="F72" i="41"/>
  <c r="F71" i="41"/>
  <c r="F70" i="41"/>
  <c r="F69" i="41"/>
  <c r="F68" i="41"/>
  <c r="F67" i="41"/>
  <c r="F66" i="41"/>
  <c r="F65" i="41"/>
  <c r="F64" i="41"/>
  <c r="F59" i="41"/>
  <c r="F58" i="41"/>
  <c r="F57" i="41"/>
  <c r="F56" i="41"/>
  <c r="F55" i="41"/>
  <c r="F54" i="41"/>
  <c r="F53" i="41"/>
  <c r="F52" i="41"/>
  <c r="F51" i="41"/>
  <c r="F50" i="41"/>
  <c r="F37" i="41"/>
  <c r="F38" i="41"/>
  <c r="F39" i="41"/>
  <c r="F40" i="41"/>
  <c r="F41" i="41"/>
  <c r="F42" i="41"/>
  <c r="F43" i="41"/>
  <c r="F44" i="41"/>
  <c r="F45" i="41"/>
  <c r="F36" i="41"/>
  <c r="I18" i="40"/>
  <c r="I17" i="40"/>
  <c r="F97" i="40"/>
  <c r="F96" i="40"/>
  <c r="F95" i="40"/>
  <c r="F94" i="40"/>
  <c r="F93" i="40"/>
  <c r="F92" i="40"/>
  <c r="F83" i="40"/>
  <c r="F82" i="40"/>
  <c r="F81" i="40"/>
  <c r="F80" i="40"/>
  <c r="F79" i="40"/>
  <c r="F78" i="40"/>
  <c r="F69" i="40"/>
  <c r="F68" i="40"/>
  <c r="F67" i="40"/>
  <c r="F66" i="40"/>
  <c r="F65" i="40"/>
  <c r="F64" i="40"/>
  <c r="F55" i="40"/>
  <c r="F54" i="40"/>
  <c r="F53" i="40"/>
  <c r="F52" i="40"/>
  <c r="F51" i="40"/>
  <c r="F50" i="40"/>
  <c r="F37" i="40"/>
  <c r="F38" i="40"/>
  <c r="F39" i="40"/>
  <c r="F40" i="40"/>
  <c r="F41" i="40"/>
  <c r="F36" i="40"/>
  <c r="I18" i="39"/>
  <c r="I19" i="39"/>
  <c r="I20" i="39"/>
  <c r="I21" i="39"/>
  <c r="I22" i="39"/>
  <c r="I23" i="39"/>
  <c r="I24" i="39"/>
  <c r="I25" i="39"/>
  <c r="I26" i="39"/>
  <c r="I17" i="39"/>
  <c r="F101" i="39"/>
  <c r="F100" i="39"/>
  <c r="F99" i="39"/>
  <c r="F98" i="39"/>
  <c r="F97" i="39"/>
  <c r="F96" i="39"/>
  <c r="F95" i="39"/>
  <c r="F94" i="39"/>
  <c r="F93" i="39"/>
  <c r="F92" i="39"/>
  <c r="F87" i="39"/>
  <c r="F86" i="39"/>
  <c r="F85" i="39"/>
  <c r="F84" i="39"/>
  <c r="F83" i="39"/>
  <c r="F82" i="39"/>
  <c r="F81" i="39"/>
  <c r="F80" i="39"/>
  <c r="F79" i="39"/>
  <c r="F78" i="39"/>
  <c r="F73" i="39"/>
  <c r="F72" i="39"/>
  <c r="F71" i="39"/>
  <c r="F70" i="39"/>
  <c r="F69" i="39"/>
  <c r="F68" i="39"/>
  <c r="F67" i="39"/>
  <c r="F66" i="39"/>
  <c r="F65" i="39"/>
  <c r="F64" i="39"/>
  <c r="F59" i="39"/>
  <c r="F58" i="39"/>
  <c r="F57" i="39"/>
  <c r="F56" i="39"/>
  <c r="F55" i="39"/>
  <c r="F54" i="39"/>
  <c r="F53" i="39"/>
  <c r="F52" i="39"/>
  <c r="F51" i="39"/>
  <c r="F50" i="39"/>
  <c r="F37" i="39"/>
  <c r="F38" i="39"/>
  <c r="F39" i="39"/>
  <c r="F40" i="39"/>
  <c r="F41" i="39"/>
  <c r="F42" i="39"/>
  <c r="F43" i="39"/>
  <c r="F44" i="39"/>
  <c r="F45" i="39"/>
  <c r="F36" i="39"/>
  <c r="I18" i="38"/>
  <c r="I19" i="38"/>
  <c r="I20" i="38"/>
  <c r="I21" i="38"/>
  <c r="I22" i="38"/>
  <c r="I23" i="38"/>
  <c r="I24" i="38"/>
  <c r="I25" i="38"/>
  <c r="I26" i="38"/>
  <c r="I17" i="38"/>
  <c r="F101" i="38"/>
  <c r="F100" i="38"/>
  <c r="F99" i="38"/>
  <c r="F98" i="38"/>
  <c r="F97" i="38"/>
  <c r="F96" i="38"/>
  <c r="F95" i="38"/>
  <c r="F94" i="38"/>
  <c r="F93" i="38"/>
  <c r="F92" i="38"/>
  <c r="F87" i="38"/>
  <c r="F86" i="38"/>
  <c r="F85" i="38"/>
  <c r="F84" i="38"/>
  <c r="F83" i="38"/>
  <c r="F82" i="38"/>
  <c r="F81" i="38"/>
  <c r="F80" i="38"/>
  <c r="F79" i="38"/>
  <c r="F78" i="38"/>
  <c r="F73" i="38"/>
  <c r="F72" i="38"/>
  <c r="F71" i="38"/>
  <c r="F70" i="38"/>
  <c r="F69" i="38"/>
  <c r="F68" i="38"/>
  <c r="F67" i="38"/>
  <c r="F66" i="38"/>
  <c r="F65" i="38"/>
  <c r="F64" i="38"/>
  <c r="F59" i="38"/>
  <c r="F58" i="38"/>
  <c r="F57" i="38"/>
  <c r="F56" i="38"/>
  <c r="F55" i="38"/>
  <c r="F54" i="38"/>
  <c r="F53" i="38"/>
  <c r="F52" i="38"/>
  <c r="F51" i="38"/>
  <c r="F50" i="38"/>
  <c r="F37" i="38"/>
  <c r="F38" i="38"/>
  <c r="F39" i="38"/>
  <c r="F40" i="38"/>
  <c r="F41" i="38"/>
  <c r="F42" i="38"/>
  <c r="F43" i="38"/>
  <c r="F44" i="38"/>
  <c r="F45" i="38"/>
  <c r="F36" i="38"/>
  <c r="I18" i="37"/>
  <c r="I19" i="37"/>
  <c r="I20" i="37"/>
  <c r="I21" i="37"/>
  <c r="I22" i="37"/>
  <c r="I23" i="37"/>
  <c r="I24" i="37"/>
  <c r="I25" i="37"/>
  <c r="I26" i="37"/>
  <c r="I17" i="37"/>
  <c r="F101" i="37"/>
  <c r="F100" i="37"/>
  <c r="F99" i="37"/>
  <c r="F98" i="37"/>
  <c r="F97" i="37"/>
  <c r="F96" i="37"/>
  <c r="F95" i="37"/>
  <c r="F94" i="37"/>
  <c r="F93" i="37"/>
  <c r="F92" i="37"/>
  <c r="F87" i="37"/>
  <c r="F86" i="37"/>
  <c r="F85" i="37"/>
  <c r="F84" i="37"/>
  <c r="F83" i="37"/>
  <c r="F82" i="37"/>
  <c r="F81" i="37"/>
  <c r="F80" i="37"/>
  <c r="F79" i="37"/>
  <c r="F78" i="37"/>
  <c r="F73" i="37"/>
  <c r="F72" i="37"/>
  <c r="F71" i="37"/>
  <c r="F70" i="37"/>
  <c r="F69" i="37"/>
  <c r="F68" i="37"/>
  <c r="F67" i="37"/>
  <c r="F66" i="37"/>
  <c r="F65" i="37"/>
  <c r="F64" i="37"/>
  <c r="F59" i="37"/>
  <c r="F58" i="37"/>
  <c r="F57" i="37"/>
  <c r="F56" i="37"/>
  <c r="F55" i="37"/>
  <c r="F54" i="37"/>
  <c r="F53" i="37"/>
  <c r="F52" i="37"/>
  <c r="F51" i="37"/>
  <c r="F50" i="37"/>
  <c r="F38" i="37"/>
  <c r="F39" i="37"/>
  <c r="F40" i="37"/>
  <c r="F41" i="37"/>
  <c r="F42" i="37"/>
  <c r="F43" i="37"/>
  <c r="F44" i="37"/>
  <c r="F45" i="37"/>
  <c r="F37" i="37"/>
  <c r="F36" i="37"/>
  <c r="I18" i="36"/>
  <c r="I19" i="36"/>
  <c r="I20" i="36"/>
  <c r="I21" i="36"/>
  <c r="I22" i="36"/>
  <c r="I23" i="36"/>
  <c r="I24" i="36"/>
  <c r="I25" i="36"/>
  <c r="I26" i="36"/>
  <c r="I17" i="36"/>
  <c r="F101" i="36"/>
  <c r="F100" i="36"/>
  <c r="F99" i="36"/>
  <c r="F98" i="36"/>
  <c r="F97" i="36"/>
  <c r="F96" i="36"/>
  <c r="F95" i="36"/>
  <c r="F94" i="36"/>
  <c r="F93" i="36"/>
  <c r="F92" i="36"/>
  <c r="F87" i="36"/>
  <c r="F86" i="36"/>
  <c r="F85" i="36"/>
  <c r="F84" i="36"/>
  <c r="F83" i="36"/>
  <c r="F82" i="36"/>
  <c r="F81" i="36"/>
  <c r="F80" i="36"/>
  <c r="F79" i="36"/>
  <c r="F78" i="36"/>
  <c r="F73" i="36"/>
  <c r="F72" i="36"/>
  <c r="F71" i="36"/>
  <c r="F70" i="36"/>
  <c r="F69" i="36"/>
  <c r="F68" i="36"/>
  <c r="F67" i="36"/>
  <c r="F66" i="36"/>
  <c r="F65" i="36"/>
  <c r="F64" i="36"/>
  <c r="F59" i="36"/>
  <c r="F58" i="36"/>
  <c r="F57" i="36"/>
  <c r="F56" i="36"/>
  <c r="F55" i="36"/>
  <c r="F54" i="36"/>
  <c r="F53" i="36"/>
  <c r="F52" i="36"/>
  <c r="F51" i="36"/>
  <c r="F50" i="36"/>
  <c r="F37" i="36"/>
  <c r="F38" i="36"/>
  <c r="F39" i="36"/>
  <c r="F40" i="36"/>
  <c r="F41" i="36"/>
  <c r="F42" i="36"/>
  <c r="F43" i="36"/>
  <c r="F44" i="36"/>
  <c r="F45" i="36"/>
  <c r="D101" i="49" l="1"/>
  <c r="C101" i="49"/>
  <c r="B101" i="49"/>
  <c r="D100" i="49"/>
  <c r="C100" i="49"/>
  <c r="B100" i="49"/>
  <c r="D99" i="49"/>
  <c r="C99" i="49"/>
  <c r="B99" i="49"/>
  <c r="D98" i="49"/>
  <c r="C98" i="49"/>
  <c r="B98" i="49"/>
  <c r="D97" i="49"/>
  <c r="C97" i="49"/>
  <c r="B97" i="49"/>
  <c r="D96" i="49"/>
  <c r="C96" i="49"/>
  <c r="B96" i="49"/>
  <c r="D95" i="49"/>
  <c r="C95" i="49"/>
  <c r="B95" i="49"/>
  <c r="D94" i="49"/>
  <c r="C94" i="49"/>
  <c r="B94" i="49"/>
  <c r="D93" i="49"/>
  <c r="C93" i="49"/>
  <c r="B93" i="49"/>
  <c r="D92" i="49"/>
  <c r="C92" i="49"/>
  <c r="B92" i="49"/>
  <c r="D87" i="49"/>
  <c r="C87" i="49"/>
  <c r="B87" i="49"/>
  <c r="D86" i="49"/>
  <c r="C86" i="49"/>
  <c r="B86" i="49"/>
  <c r="D85" i="49"/>
  <c r="C85" i="49"/>
  <c r="B85" i="49"/>
  <c r="D84" i="49"/>
  <c r="C84" i="49"/>
  <c r="B84" i="49"/>
  <c r="D83" i="49"/>
  <c r="C83" i="49"/>
  <c r="B83" i="49"/>
  <c r="D82" i="49"/>
  <c r="C82" i="49"/>
  <c r="B82" i="49"/>
  <c r="D81" i="49"/>
  <c r="C81" i="49"/>
  <c r="B81" i="49"/>
  <c r="D80" i="49"/>
  <c r="C80" i="49"/>
  <c r="B80" i="49"/>
  <c r="D79" i="49"/>
  <c r="C79" i="49"/>
  <c r="B79" i="49"/>
  <c r="D78" i="49"/>
  <c r="C78" i="49"/>
  <c r="B78" i="49"/>
  <c r="D73" i="49"/>
  <c r="C73" i="49"/>
  <c r="B73" i="49"/>
  <c r="D72" i="49"/>
  <c r="C72" i="49"/>
  <c r="B72" i="49"/>
  <c r="D71" i="49"/>
  <c r="C71" i="49"/>
  <c r="B71" i="49"/>
  <c r="D70" i="49"/>
  <c r="C70" i="49"/>
  <c r="B70" i="49"/>
  <c r="D69" i="49"/>
  <c r="C69" i="49"/>
  <c r="B69" i="49"/>
  <c r="D68" i="49"/>
  <c r="C68" i="49"/>
  <c r="B68" i="49"/>
  <c r="D67" i="49"/>
  <c r="C67" i="49"/>
  <c r="B67" i="49"/>
  <c r="D66" i="49"/>
  <c r="C66" i="49"/>
  <c r="B66" i="49"/>
  <c r="D65" i="49"/>
  <c r="C65" i="49"/>
  <c r="B65" i="49"/>
  <c r="D64" i="49"/>
  <c r="C64" i="49"/>
  <c r="B64" i="49"/>
  <c r="D59" i="49"/>
  <c r="C59" i="49"/>
  <c r="B59" i="49"/>
  <c r="D58" i="49"/>
  <c r="C58" i="49"/>
  <c r="B58" i="49"/>
  <c r="D57" i="49"/>
  <c r="C57" i="49"/>
  <c r="B57" i="49"/>
  <c r="D56" i="49"/>
  <c r="C56" i="49"/>
  <c r="B56" i="49"/>
  <c r="D55" i="49"/>
  <c r="C55" i="49"/>
  <c r="B55" i="49"/>
  <c r="D54" i="49"/>
  <c r="C54" i="49"/>
  <c r="B54" i="49"/>
  <c r="D53" i="49"/>
  <c r="C53" i="49"/>
  <c r="B53" i="49"/>
  <c r="D52" i="49"/>
  <c r="C52" i="49"/>
  <c r="B52" i="49"/>
  <c r="D51" i="49"/>
  <c r="C51" i="49"/>
  <c r="B51" i="49"/>
  <c r="D50" i="49"/>
  <c r="C50" i="49"/>
  <c r="B50"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C36" i="49"/>
  <c r="D36" i="49"/>
  <c r="E36" i="49"/>
  <c r="D101" i="45"/>
  <c r="C101" i="45"/>
  <c r="B101" i="45"/>
  <c r="D100" i="45"/>
  <c r="C100" i="45"/>
  <c r="B100" i="45"/>
  <c r="D99" i="45"/>
  <c r="C99" i="45"/>
  <c r="B99" i="45"/>
  <c r="D98" i="45"/>
  <c r="C98" i="45"/>
  <c r="B98" i="45"/>
  <c r="D97" i="45"/>
  <c r="C97" i="45"/>
  <c r="B97" i="45"/>
  <c r="D96" i="45"/>
  <c r="C96" i="45"/>
  <c r="B96" i="45"/>
  <c r="D95" i="45"/>
  <c r="C95" i="45"/>
  <c r="B95" i="45"/>
  <c r="D94" i="45"/>
  <c r="C94" i="45"/>
  <c r="B94" i="45"/>
  <c r="D93" i="45"/>
  <c r="C93" i="45"/>
  <c r="B93" i="45"/>
  <c r="D92" i="45"/>
  <c r="C92" i="45"/>
  <c r="B92" i="45"/>
  <c r="D87" i="45"/>
  <c r="C87" i="45"/>
  <c r="B87" i="45"/>
  <c r="D86" i="45"/>
  <c r="C86" i="45"/>
  <c r="B86" i="45"/>
  <c r="D85" i="45"/>
  <c r="C85" i="45"/>
  <c r="B85" i="45"/>
  <c r="D84" i="45"/>
  <c r="C84" i="45"/>
  <c r="B84" i="45"/>
  <c r="D83" i="45"/>
  <c r="C83" i="45"/>
  <c r="B83" i="45"/>
  <c r="D82" i="45"/>
  <c r="C82" i="45"/>
  <c r="B82" i="45"/>
  <c r="D81" i="45"/>
  <c r="C81" i="45"/>
  <c r="B81" i="45"/>
  <c r="D80" i="45"/>
  <c r="C80" i="45"/>
  <c r="B80" i="45"/>
  <c r="D79" i="45"/>
  <c r="C79" i="45"/>
  <c r="B79" i="45"/>
  <c r="D78" i="45"/>
  <c r="C78" i="45"/>
  <c r="B78" i="45"/>
  <c r="D73" i="45"/>
  <c r="C73" i="45"/>
  <c r="B73" i="45"/>
  <c r="D72" i="45"/>
  <c r="C72" i="45"/>
  <c r="B72" i="45"/>
  <c r="D71" i="45"/>
  <c r="C71" i="45"/>
  <c r="B71" i="45"/>
  <c r="D70" i="45"/>
  <c r="C70" i="45"/>
  <c r="B70" i="45"/>
  <c r="D69" i="45"/>
  <c r="C69" i="45"/>
  <c r="B69" i="45"/>
  <c r="D68" i="45"/>
  <c r="C68" i="45"/>
  <c r="B68" i="45"/>
  <c r="D67" i="45"/>
  <c r="C67" i="45"/>
  <c r="B67" i="45"/>
  <c r="D66" i="45"/>
  <c r="C66" i="45"/>
  <c r="B66" i="45"/>
  <c r="D65" i="45"/>
  <c r="C65" i="45"/>
  <c r="B65" i="45"/>
  <c r="D64" i="45"/>
  <c r="C64" i="45"/>
  <c r="B64" i="45"/>
  <c r="D59" i="45"/>
  <c r="C59" i="45"/>
  <c r="B59" i="45"/>
  <c r="D58" i="45"/>
  <c r="C58" i="45"/>
  <c r="B58" i="45"/>
  <c r="D57" i="45"/>
  <c r="C57" i="45"/>
  <c r="B57" i="45"/>
  <c r="D56" i="45"/>
  <c r="C56" i="45"/>
  <c r="B56" i="45"/>
  <c r="D55" i="45"/>
  <c r="C55" i="45"/>
  <c r="B55" i="45"/>
  <c r="D54" i="45"/>
  <c r="C54" i="45"/>
  <c r="B54" i="45"/>
  <c r="D53" i="45"/>
  <c r="C53" i="45"/>
  <c r="B53" i="45"/>
  <c r="D52" i="45"/>
  <c r="C52" i="45"/>
  <c r="B52" i="45"/>
  <c r="D51" i="45"/>
  <c r="C51" i="45"/>
  <c r="B51" i="45"/>
  <c r="D50" i="45"/>
  <c r="C50" i="45"/>
  <c r="B50" i="45"/>
  <c r="B37" i="45"/>
  <c r="C37" i="45"/>
  <c r="D37" i="45"/>
  <c r="B38" i="45"/>
  <c r="C38" i="45"/>
  <c r="D38" i="45"/>
  <c r="B39" i="45"/>
  <c r="C39" i="45"/>
  <c r="D39" i="45"/>
  <c r="B40" i="45"/>
  <c r="C40" i="45"/>
  <c r="D40" i="45"/>
  <c r="B41" i="45"/>
  <c r="C41" i="45"/>
  <c r="D41" i="45"/>
  <c r="B42" i="45"/>
  <c r="C42" i="45"/>
  <c r="D42" i="45"/>
  <c r="B43" i="45"/>
  <c r="C43" i="45"/>
  <c r="D43" i="45"/>
  <c r="B44" i="45"/>
  <c r="C44" i="45"/>
  <c r="D44" i="45"/>
  <c r="B45" i="45"/>
  <c r="C45" i="45"/>
  <c r="D45" i="45"/>
  <c r="C36" i="45"/>
  <c r="D36" i="45"/>
  <c r="B36" i="45"/>
  <c r="D101" i="44"/>
  <c r="C101" i="44"/>
  <c r="B101" i="44"/>
  <c r="D100" i="44"/>
  <c r="C100" i="44"/>
  <c r="B100" i="44"/>
  <c r="D99" i="44"/>
  <c r="C99" i="44"/>
  <c r="B99" i="44"/>
  <c r="D98" i="44"/>
  <c r="C98" i="44"/>
  <c r="B98" i="44"/>
  <c r="D97" i="44"/>
  <c r="C97" i="44"/>
  <c r="B97" i="44"/>
  <c r="D96" i="44"/>
  <c r="C96" i="44"/>
  <c r="B96" i="44"/>
  <c r="D95" i="44"/>
  <c r="C95" i="44"/>
  <c r="B95" i="44"/>
  <c r="D94" i="44"/>
  <c r="C94" i="44"/>
  <c r="B94" i="44"/>
  <c r="D93" i="44"/>
  <c r="C93" i="44"/>
  <c r="B93" i="44"/>
  <c r="D92" i="44"/>
  <c r="C92" i="44"/>
  <c r="B92" i="44"/>
  <c r="D87" i="44"/>
  <c r="C87" i="44"/>
  <c r="B87" i="44"/>
  <c r="D86" i="44"/>
  <c r="C86" i="44"/>
  <c r="B86" i="44"/>
  <c r="D85" i="44"/>
  <c r="C85" i="44"/>
  <c r="B85" i="44"/>
  <c r="D84" i="44"/>
  <c r="C84" i="44"/>
  <c r="B84" i="44"/>
  <c r="D83" i="44"/>
  <c r="C83" i="44"/>
  <c r="B83" i="44"/>
  <c r="D82" i="44"/>
  <c r="C82" i="44"/>
  <c r="B82" i="44"/>
  <c r="D81" i="44"/>
  <c r="C81" i="44"/>
  <c r="B81" i="44"/>
  <c r="D80" i="44"/>
  <c r="C80" i="44"/>
  <c r="B80" i="44"/>
  <c r="D79" i="44"/>
  <c r="C79" i="44"/>
  <c r="B79" i="44"/>
  <c r="D78" i="44"/>
  <c r="C78" i="44"/>
  <c r="B78" i="44"/>
  <c r="D73" i="44"/>
  <c r="C73" i="44"/>
  <c r="B73" i="44"/>
  <c r="D72" i="44"/>
  <c r="C72" i="44"/>
  <c r="B72" i="44"/>
  <c r="D71" i="44"/>
  <c r="C71" i="44"/>
  <c r="B71" i="44"/>
  <c r="D70" i="44"/>
  <c r="C70" i="44"/>
  <c r="B70" i="44"/>
  <c r="D69" i="44"/>
  <c r="C69" i="44"/>
  <c r="B69" i="44"/>
  <c r="D68" i="44"/>
  <c r="C68" i="44"/>
  <c r="B68" i="44"/>
  <c r="D67" i="44"/>
  <c r="C67" i="44"/>
  <c r="B67" i="44"/>
  <c r="D66" i="44"/>
  <c r="C66" i="44"/>
  <c r="B66" i="44"/>
  <c r="D65" i="44"/>
  <c r="C65" i="44"/>
  <c r="B65" i="44"/>
  <c r="D64" i="44"/>
  <c r="C64" i="44"/>
  <c r="B64" i="44"/>
  <c r="D59" i="44"/>
  <c r="C59" i="44"/>
  <c r="B59" i="44"/>
  <c r="D58" i="44"/>
  <c r="C58" i="44"/>
  <c r="B58" i="44"/>
  <c r="D57" i="44"/>
  <c r="C57" i="44"/>
  <c r="B57" i="44"/>
  <c r="D56" i="44"/>
  <c r="C56" i="44"/>
  <c r="B56" i="44"/>
  <c r="D55" i="44"/>
  <c r="C55" i="44"/>
  <c r="B55" i="44"/>
  <c r="D54" i="44"/>
  <c r="C54" i="44"/>
  <c r="B54" i="44"/>
  <c r="D53" i="44"/>
  <c r="C53" i="44"/>
  <c r="B53" i="44"/>
  <c r="D52" i="44"/>
  <c r="C52" i="44"/>
  <c r="B52" i="44"/>
  <c r="D51" i="44"/>
  <c r="C51" i="44"/>
  <c r="B51" i="44"/>
  <c r="D50" i="44"/>
  <c r="C50" i="44"/>
  <c r="B50" i="44"/>
  <c r="B37" i="44"/>
  <c r="C37" i="44"/>
  <c r="D37" i="44"/>
  <c r="B38" i="44"/>
  <c r="C38" i="44"/>
  <c r="D38" i="44"/>
  <c r="B39" i="44"/>
  <c r="C39" i="44"/>
  <c r="D39" i="44"/>
  <c r="B40" i="44"/>
  <c r="C40" i="44"/>
  <c r="D40" i="44"/>
  <c r="B41" i="44"/>
  <c r="C41" i="44"/>
  <c r="D41" i="44"/>
  <c r="B42" i="44"/>
  <c r="C42" i="44"/>
  <c r="D42" i="44"/>
  <c r="B43" i="44"/>
  <c r="C43" i="44"/>
  <c r="D43" i="44"/>
  <c r="B44" i="44"/>
  <c r="C44" i="44"/>
  <c r="D44" i="44"/>
  <c r="B45" i="44"/>
  <c r="C45" i="44"/>
  <c r="D45" i="44"/>
  <c r="E36" i="44"/>
  <c r="B36" i="44" s="1"/>
  <c r="C36" i="44"/>
  <c r="D36" i="44"/>
  <c r="D101" i="43" l="1"/>
  <c r="C101" i="43"/>
  <c r="B101" i="43"/>
  <c r="D100" i="43"/>
  <c r="C100" i="43"/>
  <c r="B100" i="43"/>
  <c r="D99" i="43"/>
  <c r="C99" i="43"/>
  <c r="B99" i="43"/>
  <c r="D98" i="43"/>
  <c r="C98" i="43"/>
  <c r="B98" i="43"/>
  <c r="D97" i="43"/>
  <c r="C97" i="43"/>
  <c r="B97" i="43"/>
  <c r="D96" i="43"/>
  <c r="C96" i="43"/>
  <c r="B96" i="43"/>
  <c r="D95" i="43"/>
  <c r="C95" i="43"/>
  <c r="B95" i="43"/>
  <c r="D94" i="43"/>
  <c r="C94" i="43"/>
  <c r="B94" i="43"/>
  <c r="D93" i="43"/>
  <c r="C93" i="43"/>
  <c r="B93" i="43"/>
  <c r="D92" i="43"/>
  <c r="C92" i="43"/>
  <c r="B92" i="43"/>
  <c r="D87" i="43"/>
  <c r="C87" i="43"/>
  <c r="B87" i="43"/>
  <c r="D86" i="43"/>
  <c r="C86" i="43"/>
  <c r="B86" i="43"/>
  <c r="D85" i="43"/>
  <c r="C85" i="43"/>
  <c r="B85" i="43"/>
  <c r="D84" i="43"/>
  <c r="C84" i="43"/>
  <c r="B84" i="43"/>
  <c r="D83" i="43"/>
  <c r="C83" i="43"/>
  <c r="B83" i="43"/>
  <c r="D82" i="43"/>
  <c r="C82" i="43"/>
  <c r="B82" i="43"/>
  <c r="D81" i="43"/>
  <c r="C81" i="43"/>
  <c r="B81" i="43"/>
  <c r="D80" i="43"/>
  <c r="C80" i="43"/>
  <c r="B80" i="43"/>
  <c r="D79" i="43"/>
  <c r="C79" i="43"/>
  <c r="B79" i="43"/>
  <c r="D78" i="43"/>
  <c r="C78" i="43"/>
  <c r="B78" i="43"/>
  <c r="D73" i="43"/>
  <c r="C73" i="43"/>
  <c r="B73" i="43"/>
  <c r="D72" i="43"/>
  <c r="C72" i="43"/>
  <c r="B72" i="43"/>
  <c r="D71" i="43"/>
  <c r="C71" i="43"/>
  <c r="B71" i="43"/>
  <c r="D70" i="43"/>
  <c r="C70" i="43"/>
  <c r="B70" i="43"/>
  <c r="D69" i="43"/>
  <c r="C69" i="43"/>
  <c r="B69" i="43"/>
  <c r="D68" i="43"/>
  <c r="C68" i="43"/>
  <c r="B68" i="43"/>
  <c r="D67" i="43"/>
  <c r="C67" i="43"/>
  <c r="B67" i="43"/>
  <c r="D66" i="43"/>
  <c r="C66" i="43"/>
  <c r="B66" i="43"/>
  <c r="D65" i="43"/>
  <c r="C65" i="43"/>
  <c r="B65" i="43"/>
  <c r="D64" i="43"/>
  <c r="C64" i="43"/>
  <c r="B64" i="43"/>
  <c r="D59" i="43"/>
  <c r="C59" i="43"/>
  <c r="B59" i="43"/>
  <c r="D58" i="43"/>
  <c r="C58" i="43"/>
  <c r="B58" i="43"/>
  <c r="D57" i="43"/>
  <c r="C57" i="43"/>
  <c r="B57" i="43"/>
  <c r="D56" i="43"/>
  <c r="C56" i="43"/>
  <c r="B56" i="43"/>
  <c r="D55" i="43"/>
  <c r="C55" i="43"/>
  <c r="B55" i="43"/>
  <c r="D54" i="43"/>
  <c r="C54" i="43"/>
  <c r="B54" i="43"/>
  <c r="D53" i="43"/>
  <c r="C53" i="43"/>
  <c r="B53" i="43"/>
  <c r="D52" i="43"/>
  <c r="C52" i="43"/>
  <c r="B52" i="43"/>
  <c r="D51" i="43"/>
  <c r="C51" i="43"/>
  <c r="B51" i="43"/>
  <c r="D50" i="43"/>
  <c r="C50" i="43"/>
  <c r="B50" i="43"/>
  <c r="B37" i="43"/>
  <c r="C37" i="43"/>
  <c r="D37" i="43"/>
  <c r="B38" i="43"/>
  <c r="C38" i="43"/>
  <c r="D38" i="43"/>
  <c r="B39" i="43"/>
  <c r="C39" i="43"/>
  <c r="D39" i="43"/>
  <c r="B40" i="43"/>
  <c r="C40" i="43"/>
  <c r="D40" i="43"/>
  <c r="B41" i="43"/>
  <c r="C41" i="43"/>
  <c r="D41" i="43"/>
  <c r="B42" i="43"/>
  <c r="C42" i="43"/>
  <c r="D42" i="43"/>
  <c r="B43" i="43"/>
  <c r="C43" i="43"/>
  <c r="D43" i="43"/>
  <c r="B44" i="43"/>
  <c r="C44" i="43"/>
  <c r="D44" i="43"/>
  <c r="B45" i="43"/>
  <c r="C45" i="43"/>
  <c r="D45" i="43"/>
  <c r="D101" i="41"/>
  <c r="C101" i="41"/>
  <c r="B101" i="41"/>
  <c r="D100" i="41"/>
  <c r="C100" i="41"/>
  <c r="B100" i="41"/>
  <c r="D99" i="41"/>
  <c r="C99" i="41"/>
  <c r="B99" i="41"/>
  <c r="D98" i="41"/>
  <c r="C98" i="41"/>
  <c r="B98" i="41"/>
  <c r="D97" i="41"/>
  <c r="C97" i="41"/>
  <c r="B97" i="41"/>
  <c r="D96" i="41"/>
  <c r="C96" i="41"/>
  <c r="B96" i="41"/>
  <c r="D95" i="41"/>
  <c r="C95" i="41"/>
  <c r="B95" i="41"/>
  <c r="D94" i="41"/>
  <c r="C94" i="41"/>
  <c r="B94" i="41"/>
  <c r="D93" i="41"/>
  <c r="C93" i="41"/>
  <c r="B93" i="41"/>
  <c r="D92" i="41"/>
  <c r="C92" i="41"/>
  <c r="B92" i="41"/>
  <c r="D87" i="41"/>
  <c r="C87" i="41"/>
  <c r="B87" i="41"/>
  <c r="D86" i="41"/>
  <c r="C86" i="41"/>
  <c r="B86" i="41"/>
  <c r="D85" i="41"/>
  <c r="C85" i="41"/>
  <c r="B85" i="41"/>
  <c r="D84" i="41"/>
  <c r="C84" i="41"/>
  <c r="B84" i="41"/>
  <c r="D83" i="41"/>
  <c r="C83" i="41"/>
  <c r="B83" i="41"/>
  <c r="D82" i="41"/>
  <c r="C82" i="41"/>
  <c r="B82" i="41"/>
  <c r="D81" i="41"/>
  <c r="C81" i="41"/>
  <c r="B81" i="41"/>
  <c r="D80" i="41"/>
  <c r="C80" i="41"/>
  <c r="B80" i="41"/>
  <c r="D79" i="41"/>
  <c r="C79" i="41"/>
  <c r="B79" i="41"/>
  <c r="D78" i="41"/>
  <c r="C78" i="41"/>
  <c r="B78" i="41"/>
  <c r="D73" i="41"/>
  <c r="C73" i="41"/>
  <c r="B73" i="41"/>
  <c r="D72" i="41"/>
  <c r="C72" i="41"/>
  <c r="B72" i="41"/>
  <c r="D71" i="41"/>
  <c r="C71" i="41"/>
  <c r="B71" i="41"/>
  <c r="D70" i="41"/>
  <c r="C70" i="41"/>
  <c r="B70" i="41"/>
  <c r="D69" i="41"/>
  <c r="C69" i="41"/>
  <c r="B69" i="41"/>
  <c r="D68" i="41"/>
  <c r="C68" i="41"/>
  <c r="B68" i="41"/>
  <c r="D67" i="41"/>
  <c r="C67" i="41"/>
  <c r="B67" i="41"/>
  <c r="D66" i="41"/>
  <c r="C66" i="41"/>
  <c r="B66" i="41"/>
  <c r="D65" i="41"/>
  <c r="C65" i="41"/>
  <c r="B65" i="41"/>
  <c r="D64" i="41"/>
  <c r="C64" i="41"/>
  <c r="B64" i="41"/>
  <c r="D59" i="41"/>
  <c r="C59" i="41"/>
  <c r="B59" i="41"/>
  <c r="D58" i="41"/>
  <c r="C58" i="41"/>
  <c r="B58" i="41"/>
  <c r="D57" i="41"/>
  <c r="C57" i="41"/>
  <c r="B57" i="41"/>
  <c r="D56" i="41"/>
  <c r="C56" i="41"/>
  <c r="B56" i="41"/>
  <c r="D55" i="41"/>
  <c r="C55" i="41"/>
  <c r="B55" i="41"/>
  <c r="D54" i="41"/>
  <c r="C54" i="41"/>
  <c r="B54" i="41"/>
  <c r="D53" i="41"/>
  <c r="C53" i="41"/>
  <c r="B53" i="41"/>
  <c r="D52" i="41"/>
  <c r="C52" i="41"/>
  <c r="B52" i="41"/>
  <c r="D51" i="41"/>
  <c r="C51" i="41"/>
  <c r="B51" i="41"/>
  <c r="D50" i="41"/>
  <c r="C50" i="41"/>
  <c r="B50" i="41"/>
  <c r="B37" i="41"/>
  <c r="C37" i="41"/>
  <c r="D37" i="41"/>
  <c r="B38" i="41"/>
  <c r="C38" i="41"/>
  <c r="D38" i="41"/>
  <c r="B39" i="41"/>
  <c r="C39" i="41"/>
  <c r="D39" i="41"/>
  <c r="B40" i="41"/>
  <c r="C40" i="41"/>
  <c r="D40" i="41"/>
  <c r="B41" i="41"/>
  <c r="C41" i="41"/>
  <c r="D41" i="41"/>
  <c r="B42" i="41"/>
  <c r="C42" i="41"/>
  <c r="D42" i="41"/>
  <c r="B43" i="41"/>
  <c r="C43" i="41"/>
  <c r="D43" i="41"/>
  <c r="B44" i="41"/>
  <c r="C44" i="41"/>
  <c r="D44" i="41"/>
  <c r="B45" i="41"/>
  <c r="C45" i="41"/>
  <c r="D45" i="41"/>
  <c r="C36" i="41"/>
  <c r="D36" i="41"/>
  <c r="B36" i="41"/>
  <c r="D101" i="39"/>
  <c r="C101" i="39"/>
  <c r="B101" i="39"/>
  <c r="D100" i="39"/>
  <c r="C100" i="39"/>
  <c r="B100" i="39"/>
  <c r="D99" i="39"/>
  <c r="C99" i="39"/>
  <c r="B99" i="39"/>
  <c r="D98" i="39"/>
  <c r="C98" i="39"/>
  <c r="B98" i="39"/>
  <c r="D97" i="39"/>
  <c r="C97" i="39"/>
  <c r="B97" i="39"/>
  <c r="D96" i="39"/>
  <c r="C96" i="39"/>
  <c r="B96" i="39"/>
  <c r="D95" i="39"/>
  <c r="C95" i="39"/>
  <c r="B95" i="39"/>
  <c r="D94" i="39"/>
  <c r="C94" i="39"/>
  <c r="B94" i="39"/>
  <c r="D93" i="39"/>
  <c r="C93" i="39"/>
  <c r="B93" i="39"/>
  <c r="D92" i="39"/>
  <c r="C92" i="39"/>
  <c r="B92" i="39"/>
  <c r="D87" i="39"/>
  <c r="C87" i="39"/>
  <c r="B87" i="39"/>
  <c r="D86" i="39"/>
  <c r="C86" i="39"/>
  <c r="B86" i="39"/>
  <c r="D85" i="39"/>
  <c r="C85" i="39"/>
  <c r="B85" i="39"/>
  <c r="D84" i="39"/>
  <c r="C84" i="39"/>
  <c r="B84" i="39"/>
  <c r="D83" i="39"/>
  <c r="C83" i="39"/>
  <c r="B83" i="39"/>
  <c r="D82" i="39"/>
  <c r="C82" i="39"/>
  <c r="B82" i="39"/>
  <c r="D81" i="39"/>
  <c r="C81" i="39"/>
  <c r="B81" i="39"/>
  <c r="D80" i="39"/>
  <c r="C80" i="39"/>
  <c r="B80" i="39"/>
  <c r="D79" i="39"/>
  <c r="C79" i="39"/>
  <c r="B79" i="39"/>
  <c r="D78" i="39"/>
  <c r="C78" i="39"/>
  <c r="B78" i="39"/>
  <c r="D73" i="39"/>
  <c r="C73" i="39"/>
  <c r="B73" i="39"/>
  <c r="D72" i="39"/>
  <c r="C72" i="39"/>
  <c r="B72" i="39"/>
  <c r="D71" i="39"/>
  <c r="C71" i="39"/>
  <c r="B71" i="39"/>
  <c r="D70" i="39"/>
  <c r="C70" i="39"/>
  <c r="B70" i="39"/>
  <c r="D69" i="39"/>
  <c r="C69" i="39"/>
  <c r="B69" i="39"/>
  <c r="D68" i="39"/>
  <c r="C68" i="39"/>
  <c r="B68" i="39"/>
  <c r="D67" i="39"/>
  <c r="C67" i="39"/>
  <c r="B67" i="39"/>
  <c r="D66" i="39"/>
  <c r="C66" i="39"/>
  <c r="B66" i="39"/>
  <c r="D65" i="39"/>
  <c r="C65" i="39"/>
  <c r="B65" i="39"/>
  <c r="D64" i="39"/>
  <c r="C64" i="39"/>
  <c r="B64" i="39"/>
  <c r="D59" i="39"/>
  <c r="C59" i="39"/>
  <c r="B59" i="39"/>
  <c r="D58" i="39"/>
  <c r="C58" i="39"/>
  <c r="B58" i="39"/>
  <c r="D57" i="39"/>
  <c r="C57" i="39"/>
  <c r="B57" i="39"/>
  <c r="D56" i="39"/>
  <c r="C56" i="39"/>
  <c r="B56" i="39"/>
  <c r="D55" i="39"/>
  <c r="C55" i="39"/>
  <c r="B55" i="39"/>
  <c r="D54" i="39"/>
  <c r="C54" i="39"/>
  <c r="B54" i="39"/>
  <c r="D53" i="39"/>
  <c r="C53" i="39"/>
  <c r="B53" i="39"/>
  <c r="D52" i="39"/>
  <c r="C52" i="39"/>
  <c r="B52" i="39"/>
  <c r="D51" i="39"/>
  <c r="C51" i="39"/>
  <c r="B51" i="39"/>
  <c r="D50" i="39"/>
  <c r="C50" i="39"/>
  <c r="B50" i="39"/>
  <c r="B37" i="39"/>
  <c r="C37" i="39"/>
  <c r="D37" i="39"/>
  <c r="B38" i="39"/>
  <c r="C38" i="39"/>
  <c r="D38" i="39"/>
  <c r="B39" i="39"/>
  <c r="C39" i="39"/>
  <c r="D39" i="39"/>
  <c r="B40" i="39"/>
  <c r="C40" i="39"/>
  <c r="D40" i="39"/>
  <c r="B41" i="39"/>
  <c r="C41" i="39"/>
  <c r="D41" i="39"/>
  <c r="B42" i="39"/>
  <c r="C42" i="39"/>
  <c r="D42" i="39"/>
  <c r="B43" i="39"/>
  <c r="C43" i="39"/>
  <c r="D43" i="39"/>
  <c r="B44" i="39"/>
  <c r="C44" i="39"/>
  <c r="D44" i="39"/>
  <c r="B45" i="39"/>
  <c r="C45" i="39"/>
  <c r="D45" i="39"/>
  <c r="D36" i="39"/>
  <c r="C36" i="39"/>
  <c r="B36" i="39"/>
  <c r="D101" i="37"/>
  <c r="C101" i="37"/>
  <c r="B101" i="37"/>
  <c r="D100" i="37"/>
  <c r="C100" i="37"/>
  <c r="B100" i="37"/>
  <c r="D99" i="37"/>
  <c r="C99" i="37"/>
  <c r="B99" i="37"/>
  <c r="D98" i="37"/>
  <c r="C98" i="37"/>
  <c r="B98" i="37"/>
  <c r="D97" i="37"/>
  <c r="C97" i="37"/>
  <c r="B97" i="37"/>
  <c r="D96" i="37"/>
  <c r="C96" i="37"/>
  <c r="B96" i="37"/>
  <c r="D93" i="37"/>
  <c r="C93" i="37"/>
  <c r="B93" i="37"/>
  <c r="D92" i="37"/>
  <c r="C92" i="37"/>
  <c r="B92" i="37"/>
  <c r="D87" i="37"/>
  <c r="C87" i="37"/>
  <c r="B87" i="37"/>
  <c r="D86" i="37"/>
  <c r="C86" i="37"/>
  <c r="B86" i="37"/>
  <c r="D85" i="37"/>
  <c r="C85" i="37"/>
  <c r="B85" i="37"/>
  <c r="D84" i="37"/>
  <c r="C84" i="37"/>
  <c r="B84" i="37"/>
  <c r="D83" i="37"/>
  <c r="C83" i="37"/>
  <c r="B83" i="37"/>
  <c r="D82" i="37"/>
  <c r="C82" i="37"/>
  <c r="B82" i="37"/>
  <c r="D79" i="37"/>
  <c r="C79" i="37"/>
  <c r="B79" i="37"/>
  <c r="D78" i="37"/>
  <c r="C78" i="37"/>
  <c r="B78" i="37"/>
  <c r="D73" i="37"/>
  <c r="C73" i="37"/>
  <c r="B73" i="37"/>
  <c r="D72" i="37"/>
  <c r="C72" i="37"/>
  <c r="B72" i="37"/>
  <c r="D71" i="37"/>
  <c r="C71" i="37"/>
  <c r="B71" i="37"/>
  <c r="D70" i="37"/>
  <c r="C70" i="37"/>
  <c r="B70" i="37"/>
  <c r="D69" i="37"/>
  <c r="C69" i="37"/>
  <c r="B69" i="37"/>
  <c r="D68" i="37"/>
  <c r="C68" i="37"/>
  <c r="B68" i="37"/>
  <c r="D65" i="37"/>
  <c r="C65" i="37"/>
  <c r="B65" i="37"/>
  <c r="D64" i="37"/>
  <c r="C64" i="37"/>
  <c r="B64" i="37"/>
  <c r="B51" i="37"/>
  <c r="C51" i="37"/>
  <c r="D51" i="37"/>
  <c r="B54" i="37"/>
  <c r="C54" i="37"/>
  <c r="D54" i="37"/>
  <c r="B55" i="37"/>
  <c r="C55" i="37"/>
  <c r="D55" i="37"/>
  <c r="B56" i="37"/>
  <c r="C56" i="37"/>
  <c r="D56" i="37"/>
  <c r="B57" i="37"/>
  <c r="C57" i="37"/>
  <c r="D57" i="37"/>
  <c r="B58" i="37"/>
  <c r="C58" i="37"/>
  <c r="D58" i="37"/>
  <c r="B59" i="37"/>
  <c r="C59" i="37"/>
  <c r="D59" i="37"/>
  <c r="D50" i="37"/>
  <c r="C50" i="37"/>
  <c r="B50" i="37"/>
  <c r="B37" i="37"/>
  <c r="C37" i="37"/>
  <c r="D37" i="37"/>
  <c r="B40" i="37"/>
  <c r="C40" i="37"/>
  <c r="D40" i="37"/>
  <c r="B41" i="37"/>
  <c r="C41" i="37"/>
  <c r="D41" i="37"/>
  <c r="B42" i="37"/>
  <c r="C42" i="37"/>
  <c r="D42" i="37"/>
  <c r="B43" i="37"/>
  <c r="C43" i="37"/>
  <c r="D43" i="37"/>
  <c r="B44" i="37"/>
  <c r="C44" i="37"/>
  <c r="D44" i="37"/>
  <c r="B45" i="37"/>
  <c r="C45" i="37"/>
  <c r="D45" i="37"/>
  <c r="D36" i="37"/>
  <c r="C36" i="37"/>
  <c r="B36" i="37"/>
  <c r="F26" i="45" l="1"/>
  <c r="F25" i="45"/>
  <c r="F24" i="45"/>
  <c r="F23" i="45"/>
  <c r="F22" i="45"/>
  <c r="F21" i="45"/>
  <c r="F20" i="45"/>
  <c r="F19" i="45"/>
  <c r="F18" i="45"/>
  <c r="F17" i="45"/>
  <c r="F26" i="44"/>
  <c r="F25" i="44"/>
  <c r="F24" i="44"/>
  <c r="F23" i="44"/>
  <c r="F22" i="44"/>
  <c r="F21" i="44"/>
  <c r="F20" i="44"/>
  <c r="F19" i="44"/>
  <c r="F18" i="44"/>
  <c r="F17" i="44"/>
  <c r="F26" i="43"/>
  <c r="F25" i="43"/>
  <c r="F24" i="43"/>
  <c r="F23" i="43"/>
  <c r="F22" i="43"/>
  <c r="F21" i="43"/>
  <c r="F20" i="43"/>
  <c r="F19" i="43"/>
  <c r="F18" i="43"/>
  <c r="F17" i="43"/>
  <c r="F26" i="42"/>
  <c r="F25" i="42"/>
  <c r="F24" i="42"/>
  <c r="F23" i="42"/>
  <c r="F22" i="42"/>
  <c r="F21" i="42"/>
  <c r="F20" i="42"/>
  <c r="F19" i="42"/>
  <c r="F18" i="42"/>
  <c r="F17" i="42"/>
  <c r="F26" i="41"/>
  <c r="F25" i="41"/>
  <c r="F24" i="41"/>
  <c r="F23" i="41"/>
  <c r="F22" i="41"/>
  <c r="F21" i="41"/>
  <c r="F20" i="41"/>
  <c r="F19" i="41"/>
  <c r="F18" i="41"/>
  <c r="F17" i="41"/>
  <c r="F20" i="40"/>
  <c r="F19" i="40"/>
  <c r="F18" i="40"/>
  <c r="F17" i="40"/>
  <c r="F26" i="39"/>
  <c r="F25" i="39"/>
  <c r="F24" i="39"/>
  <c r="F23" i="39"/>
  <c r="F22" i="39"/>
  <c r="F21" i="39"/>
  <c r="F20" i="39"/>
  <c r="F19" i="39"/>
  <c r="F18" i="39"/>
  <c r="F17" i="39"/>
  <c r="F18" i="38"/>
  <c r="F19" i="38"/>
  <c r="F20" i="38"/>
  <c r="F21" i="38"/>
  <c r="F22" i="38"/>
  <c r="F23" i="38"/>
  <c r="F24" i="38"/>
  <c r="F25" i="38"/>
  <c r="F26" i="38"/>
  <c r="F17" i="38"/>
  <c r="F18" i="37"/>
  <c r="F19" i="37"/>
  <c r="F20" i="37"/>
  <c r="F21" i="37"/>
  <c r="F22" i="37"/>
  <c r="F23" i="37"/>
  <c r="F24" i="37"/>
  <c r="F25" i="37"/>
  <c r="F26" i="37"/>
  <c r="F17" i="37"/>
  <c r="F18" i="36"/>
  <c r="F19" i="36"/>
  <c r="F20" i="36"/>
  <c r="F21" i="36"/>
  <c r="F22" i="36"/>
  <c r="F23" i="36"/>
  <c r="F24" i="36"/>
  <c r="F25" i="36"/>
  <c r="F26" i="36"/>
  <c r="F17" i="36"/>
  <c r="D101" i="38"/>
  <c r="C101" i="38"/>
  <c r="B101" i="38"/>
  <c r="D100" i="38"/>
  <c r="C100" i="38"/>
  <c r="B100" i="38"/>
  <c r="D99" i="38"/>
  <c r="C99" i="38"/>
  <c r="B99" i="38"/>
  <c r="D98" i="38"/>
  <c r="C98" i="38"/>
  <c r="B98" i="38"/>
  <c r="D97" i="38"/>
  <c r="C97" i="38"/>
  <c r="B97" i="38"/>
  <c r="D96" i="38"/>
  <c r="C96" i="38"/>
  <c r="B96" i="38"/>
  <c r="D95" i="38"/>
  <c r="C95" i="38"/>
  <c r="B95" i="38"/>
  <c r="D94" i="38"/>
  <c r="C94" i="38"/>
  <c r="B94" i="38"/>
  <c r="D93" i="38"/>
  <c r="C93" i="38"/>
  <c r="B93" i="38"/>
  <c r="D92" i="38"/>
  <c r="C92" i="38"/>
  <c r="B92" i="38"/>
  <c r="D87" i="38"/>
  <c r="C87" i="38"/>
  <c r="B87" i="38"/>
  <c r="D86" i="38"/>
  <c r="C86" i="38"/>
  <c r="B86" i="38"/>
  <c r="D85" i="38"/>
  <c r="C85" i="38"/>
  <c r="B85" i="38"/>
  <c r="D84" i="38"/>
  <c r="C84" i="38"/>
  <c r="B84" i="38"/>
  <c r="D83" i="38"/>
  <c r="C83" i="38"/>
  <c r="B83" i="38"/>
  <c r="D82" i="38"/>
  <c r="C82" i="38"/>
  <c r="B82" i="38"/>
  <c r="D81" i="38"/>
  <c r="C81" i="38"/>
  <c r="B81" i="38"/>
  <c r="D80" i="38"/>
  <c r="C80" i="38"/>
  <c r="B80" i="38"/>
  <c r="D79" i="38"/>
  <c r="C79" i="38"/>
  <c r="B79" i="38"/>
  <c r="D78" i="38"/>
  <c r="C78" i="38"/>
  <c r="B78" i="38"/>
  <c r="D73" i="38"/>
  <c r="C73" i="38"/>
  <c r="B73" i="38"/>
  <c r="D72" i="38"/>
  <c r="C72" i="38"/>
  <c r="B72" i="38"/>
  <c r="D71" i="38"/>
  <c r="C71" i="38"/>
  <c r="B71" i="38"/>
  <c r="D70" i="38"/>
  <c r="C70" i="38"/>
  <c r="B70" i="38"/>
  <c r="D69" i="38"/>
  <c r="C69" i="38"/>
  <c r="B69" i="38"/>
  <c r="D68" i="38"/>
  <c r="C68" i="38"/>
  <c r="B68" i="38"/>
  <c r="D67" i="38"/>
  <c r="C67" i="38"/>
  <c r="B67" i="38"/>
  <c r="D66" i="38"/>
  <c r="C66" i="38"/>
  <c r="B66" i="38"/>
  <c r="D65" i="38"/>
  <c r="C65" i="38"/>
  <c r="B65" i="38"/>
  <c r="D64" i="38"/>
  <c r="C64" i="38"/>
  <c r="B64" i="38"/>
  <c r="D59" i="38"/>
  <c r="C59" i="38"/>
  <c r="B59" i="38"/>
  <c r="D58" i="38"/>
  <c r="C58" i="38"/>
  <c r="B58" i="38"/>
  <c r="D57" i="38"/>
  <c r="C57" i="38"/>
  <c r="B57" i="38"/>
  <c r="D56" i="38"/>
  <c r="C56" i="38"/>
  <c r="B56" i="38"/>
  <c r="D55" i="38"/>
  <c r="C55" i="38"/>
  <c r="B55" i="38"/>
  <c r="D54" i="38"/>
  <c r="C54" i="38"/>
  <c r="B54" i="38"/>
  <c r="D53" i="38"/>
  <c r="C53" i="38"/>
  <c r="B53" i="38"/>
  <c r="D52" i="38"/>
  <c r="C52" i="38"/>
  <c r="B52" i="38"/>
  <c r="D51" i="38"/>
  <c r="C51" i="38"/>
  <c r="B51" i="38"/>
  <c r="D50" i="38"/>
  <c r="C50" i="38"/>
  <c r="B50" i="38"/>
  <c r="D37" i="38"/>
  <c r="D38" i="38"/>
  <c r="D39" i="38"/>
  <c r="D40" i="38"/>
  <c r="D42" i="38"/>
  <c r="D43" i="38"/>
  <c r="D44" i="38"/>
  <c r="D45" i="38"/>
  <c r="C37" i="38"/>
  <c r="C38" i="38"/>
  <c r="C39" i="38"/>
  <c r="C40" i="38"/>
  <c r="C42" i="38"/>
  <c r="C43" i="38"/>
  <c r="C44" i="38"/>
  <c r="C45" i="38"/>
  <c r="B37" i="38"/>
  <c r="B38" i="38"/>
  <c r="B39" i="38"/>
  <c r="B40" i="38"/>
  <c r="B42" i="38"/>
  <c r="B43" i="38"/>
  <c r="B44" i="38"/>
  <c r="B45" i="38"/>
  <c r="D36" i="38"/>
  <c r="C36" i="38"/>
  <c r="B36" i="38"/>
  <c r="D101" i="36"/>
  <c r="C101" i="36"/>
  <c r="B101" i="36"/>
  <c r="D100" i="36"/>
  <c r="C100" i="36"/>
  <c r="B100" i="36"/>
  <c r="D99" i="36"/>
  <c r="C99" i="36"/>
  <c r="B99" i="36"/>
  <c r="D98" i="36"/>
  <c r="C98" i="36"/>
  <c r="B98" i="36"/>
  <c r="D96" i="36"/>
  <c r="C96" i="36"/>
  <c r="B96" i="36"/>
  <c r="D95" i="36"/>
  <c r="C95" i="36"/>
  <c r="B95" i="36"/>
  <c r="D94" i="36"/>
  <c r="C94" i="36"/>
  <c r="B94" i="36"/>
  <c r="D93" i="36"/>
  <c r="C93" i="36"/>
  <c r="B93" i="36"/>
  <c r="D87" i="36"/>
  <c r="C87" i="36"/>
  <c r="B87" i="36"/>
  <c r="D86" i="36"/>
  <c r="C86" i="36"/>
  <c r="B86" i="36"/>
  <c r="D85" i="36"/>
  <c r="C85" i="36"/>
  <c r="B85" i="36"/>
  <c r="D84" i="36"/>
  <c r="C84" i="36"/>
  <c r="B84" i="36"/>
  <c r="D82" i="36"/>
  <c r="C82" i="36"/>
  <c r="B82" i="36"/>
  <c r="D81" i="36"/>
  <c r="C81" i="36"/>
  <c r="B81" i="36"/>
  <c r="D80" i="36"/>
  <c r="C80" i="36"/>
  <c r="B80" i="36"/>
  <c r="D79" i="36"/>
  <c r="C79" i="36"/>
  <c r="B79" i="36"/>
  <c r="D73" i="36"/>
  <c r="C73" i="36"/>
  <c r="B73" i="36"/>
  <c r="D72" i="36"/>
  <c r="C72" i="36"/>
  <c r="B72" i="36"/>
  <c r="D71" i="36"/>
  <c r="C71" i="36"/>
  <c r="B71" i="36"/>
  <c r="D70" i="36"/>
  <c r="C70" i="36"/>
  <c r="B70" i="36"/>
  <c r="D68" i="36"/>
  <c r="C68" i="36"/>
  <c r="B68" i="36"/>
  <c r="D67" i="36"/>
  <c r="C67" i="36"/>
  <c r="B67" i="36"/>
  <c r="D66" i="36"/>
  <c r="C66" i="36"/>
  <c r="B66" i="36"/>
  <c r="D65" i="36"/>
  <c r="C65" i="36"/>
  <c r="B65" i="36"/>
  <c r="D59" i="36"/>
  <c r="C59" i="36"/>
  <c r="B59" i="36"/>
  <c r="D58" i="36"/>
  <c r="C58" i="36"/>
  <c r="B58" i="36"/>
  <c r="D57" i="36"/>
  <c r="C57" i="36"/>
  <c r="B57" i="36"/>
  <c r="D56" i="36"/>
  <c r="C56" i="36"/>
  <c r="B56" i="36"/>
  <c r="D54" i="36"/>
  <c r="C54" i="36"/>
  <c r="B54" i="36"/>
  <c r="D53" i="36"/>
  <c r="C53" i="36"/>
  <c r="B53" i="36"/>
  <c r="D52" i="36"/>
  <c r="C52" i="36"/>
  <c r="B52" i="36"/>
  <c r="D51" i="36"/>
  <c r="C51" i="36"/>
  <c r="B51" i="36"/>
  <c r="D42" i="36"/>
  <c r="D43" i="36"/>
  <c r="D44" i="36"/>
  <c r="D45" i="36"/>
  <c r="C42" i="36"/>
  <c r="C43" i="36"/>
  <c r="C44" i="36"/>
  <c r="C45" i="36"/>
  <c r="B42" i="36"/>
  <c r="B43" i="36"/>
  <c r="B44" i="36"/>
  <c r="B45" i="36"/>
  <c r="D88" i="35" l="1"/>
  <c r="E101" i="49" l="1"/>
  <c r="E100" i="49"/>
  <c r="E99" i="49"/>
  <c r="E98" i="49"/>
  <c r="E97" i="49"/>
  <c r="E96" i="49"/>
  <c r="E95" i="49"/>
  <c r="E94" i="49"/>
  <c r="E93" i="49"/>
  <c r="E92" i="49"/>
  <c r="E87" i="49"/>
  <c r="E86" i="49"/>
  <c r="E85" i="49"/>
  <c r="E84" i="49"/>
  <c r="E83" i="49"/>
  <c r="E82" i="49"/>
  <c r="E81" i="49"/>
  <c r="E80" i="49"/>
  <c r="E79" i="49"/>
  <c r="E78" i="49"/>
  <c r="E73" i="49"/>
  <c r="E72" i="49"/>
  <c r="E71" i="49"/>
  <c r="E70" i="49"/>
  <c r="E69" i="49"/>
  <c r="E68" i="49"/>
  <c r="E67" i="49"/>
  <c r="E66" i="49"/>
  <c r="E65" i="49"/>
  <c r="E64" i="49"/>
  <c r="E59" i="49"/>
  <c r="E58" i="49"/>
  <c r="E57" i="49"/>
  <c r="E56" i="49"/>
  <c r="E55" i="49"/>
  <c r="E54" i="49"/>
  <c r="E53" i="49"/>
  <c r="E52" i="49"/>
  <c r="E51" i="49"/>
  <c r="E50" i="49"/>
  <c r="E37" i="49"/>
  <c r="E38" i="49"/>
  <c r="E39" i="49"/>
  <c r="E40" i="49"/>
  <c r="E41" i="49"/>
  <c r="E42" i="49"/>
  <c r="E43" i="49"/>
  <c r="E44" i="49"/>
  <c r="E45" i="49"/>
  <c r="B11" i="49"/>
  <c r="G21" i="49" s="1"/>
  <c r="B116" i="49"/>
  <c r="B115" i="49"/>
  <c r="B114" i="49"/>
  <c r="B113" i="49"/>
  <c r="B112" i="49"/>
  <c r="B111" i="49"/>
  <c r="B110" i="49"/>
  <c r="B109" i="49"/>
  <c r="B108" i="49"/>
  <c r="B107" i="49"/>
  <c r="D105" i="49"/>
  <c r="C105" i="49"/>
  <c r="M101" i="49"/>
  <c r="M100" i="49"/>
  <c r="M99" i="49"/>
  <c r="M98" i="49"/>
  <c r="M97" i="49"/>
  <c r="M96" i="49"/>
  <c r="M95" i="49"/>
  <c r="M94" i="49"/>
  <c r="M93" i="49"/>
  <c r="M92" i="49"/>
  <c r="M87" i="49"/>
  <c r="M86" i="49"/>
  <c r="M85" i="49"/>
  <c r="M84" i="49"/>
  <c r="M83" i="49"/>
  <c r="M82" i="49"/>
  <c r="M81" i="49"/>
  <c r="M80" i="49"/>
  <c r="M79" i="49"/>
  <c r="M78" i="49"/>
  <c r="M73" i="49"/>
  <c r="M72" i="49"/>
  <c r="M71" i="49"/>
  <c r="M70" i="49"/>
  <c r="M69" i="49"/>
  <c r="M68" i="49"/>
  <c r="M67" i="49"/>
  <c r="M66" i="49"/>
  <c r="M65" i="49"/>
  <c r="M64" i="49"/>
  <c r="M59" i="49"/>
  <c r="M58" i="49"/>
  <c r="M57" i="49"/>
  <c r="M56" i="49"/>
  <c r="M55" i="49"/>
  <c r="M54" i="49"/>
  <c r="C21" i="49"/>
  <c r="M53" i="49"/>
  <c r="M52" i="49"/>
  <c r="M51" i="49"/>
  <c r="C18" i="49"/>
  <c r="M50" i="49"/>
  <c r="M45" i="49"/>
  <c r="F45" i="49"/>
  <c r="F101" i="49" s="1"/>
  <c r="M44" i="49"/>
  <c r="F44" i="49"/>
  <c r="F86" i="49" s="1"/>
  <c r="D25" i="49"/>
  <c r="M43" i="49"/>
  <c r="F43" i="49"/>
  <c r="F99" i="49" s="1"/>
  <c r="M42" i="49"/>
  <c r="F42" i="49"/>
  <c r="F84" i="49" s="1"/>
  <c r="C23" i="49"/>
  <c r="M41" i="49"/>
  <c r="F41" i="49"/>
  <c r="F97" i="49" s="1"/>
  <c r="M40" i="49"/>
  <c r="F40" i="49"/>
  <c r="F82" i="49" s="1"/>
  <c r="D21" i="49"/>
  <c r="B21" i="49"/>
  <c r="M39" i="49"/>
  <c r="F39" i="49"/>
  <c r="F95" i="49" s="1"/>
  <c r="C20" i="49"/>
  <c r="B20" i="49"/>
  <c r="M38" i="49"/>
  <c r="F38" i="49"/>
  <c r="F80" i="49" s="1"/>
  <c r="C19" i="49"/>
  <c r="M37" i="49"/>
  <c r="F37" i="49"/>
  <c r="F93" i="49" s="1"/>
  <c r="M36" i="49"/>
  <c r="F36" i="49"/>
  <c r="I27" i="49"/>
  <c r="D24" i="49"/>
  <c r="B22" i="49"/>
  <c r="D20" i="49"/>
  <c r="B18" i="49"/>
  <c r="C17" i="49"/>
  <c r="D9" i="49"/>
  <c r="D10" i="49" s="1"/>
  <c r="D11" i="49" s="1"/>
  <c r="C9" i="49"/>
  <c r="C10" i="49" s="1"/>
  <c r="C11" i="49" s="1"/>
  <c r="E20" i="49" l="1"/>
  <c r="E21" i="49"/>
  <c r="F21" i="49" s="1"/>
  <c r="E25" i="49"/>
  <c r="F78" i="49"/>
  <c r="B36" i="49"/>
  <c r="B17" i="49" s="1"/>
  <c r="C24" i="49"/>
  <c r="C25" i="49"/>
  <c r="B26" i="49"/>
  <c r="B19" i="49"/>
  <c r="C22" i="49"/>
  <c r="C26" i="49"/>
  <c r="E24" i="49"/>
  <c r="F24" i="49" s="1"/>
  <c r="B24" i="49"/>
  <c r="D17" i="49"/>
  <c r="B25" i="49"/>
  <c r="G24" i="49"/>
  <c r="G20" i="49"/>
  <c r="G23" i="49"/>
  <c r="G19" i="49"/>
  <c r="B23" i="49"/>
  <c r="D18" i="49"/>
  <c r="D22" i="49"/>
  <c r="G26" i="49"/>
  <c r="G22" i="49"/>
  <c r="G18" i="49"/>
  <c r="F46" i="49"/>
  <c r="G46" i="49" s="1"/>
  <c r="F56" i="49"/>
  <c r="D26" i="49"/>
  <c r="G25" i="49"/>
  <c r="F52" i="49"/>
  <c r="F58" i="49"/>
  <c r="F50" i="49"/>
  <c r="F54" i="49"/>
  <c r="B117" i="49"/>
  <c r="D19" i="49"/>
  <c r="D23" i="49"/>
  <c r="F51" i="49"/>
  <c r="F53" i="49"/>
  <c r="F55" i="49"/>
  <c r="F57" i="49"/>
  <c r="F59" i="49"/>
  <c r="F64" i="49"/>
  <c r="F66" i="49"/>
  <c r="F68" i="49"/>
  <c r="F70" i="49"/>
  <c r="F72" i="49"/>
  <c r="F79" i="49"/>
  <c r="F81" i="49"/>
  <c r="F83" i="49"/>
  <c r="F85" i="49"/>
  <c r="F87" i="49"/>
  <c r="F92" i="49"/>
  <c r="F94" i="49"/>
  <c r="F96" i="49"/>
  <c r="F98" i="49"/>
  <c r="F100" i="49"/>
  <c r="F65" i="49"/>
  <c r="F67" i="49"/>
  <c r="F69" i="49"/>
  <c r="F71" i="49"/>
  <c r="F73" i="49"/>
  <c r="B116" i="45"/>
  <c r="B115" i="45"/>
  <c r="B114" i="45"/>
  <c r="B113" i="45"/>
  <c r="B112" i="45"/>
  <c r="B111" i="45"/>
  <c r="B110" i="45"/>
  <c r="B109" i="45"/>
  <c r="B108" i="45"/>
  <c r="B107" i="45"/>
  <c r="B117" i="45" s="1"/>
  <c r="D105" i="45"/>
  <c r="C105" i="45"/>
  <c r="B117" i="44"/>
  <c r="B116" i="44"/>
  <c r="B115" i="44"/>
  <c r="B114" i="44"/>
  <c r="B113" i="44"/>
  <c r="B112" i="44"/>
  <c r="B111" i="44"/>
  <c r="B110" i="44"/>
  <c r="B109" i="44"/>
  <c r="B108" i="44"/>
  <c r="B107" i="44"/>
  <c r="D105" i="44"/>
  <c r="C105" i="44"/>
  <c r="B116" i="43"/>
  <c r="B115" i="43"/>
  <c r="B114" i="43"/>
  <c r="B113" i="43"/>
  <c r="B112" i="43"/>
  <c r="B111" i="43"/>
  <c r="B110" i="43"/>
  <c r="B109" i="43"/>
  <c r="B108" i="43"/>
  <c r="B107" i="43"/>
  <c r="B117" i="43" s="1"/>
  <c r="D105" i="43"/>
  <c r="C105" i="43"/>
  <c r="B116" i="42"/>
  <c r="B115" i="42"/>
  <c r="B114" i="42"/>
  <c r="B113" i="42"/>
  <c r="B112" i="42"/>
  <c r="B111" i="42"/>
  <c r="B110" i="42"/>
  <c r="B109" i="42"/>
  <c r="B108" i="42"/>
  <c r="B107" i="42"/>
  <c r="B117" i="42" s="1"/>
  <c r="D105" i="42"/>
  <c r="C105" i="42"/>
  <c r="B116" i="41"/>
  <c r="B115" i="41"/>
  <c r="B114" i="41"/>
  <c r="B113" i="41"/>
  <c r="B112" i="41"/>
  <c r="B111" i="41"/>
  <c r="B110" i="41"/>
  <c r="B109" i="41"/>
  <c r="B108" i="41"/>
  <c r="B107" i="41"/>
  <c r="D105" i="41"/>
  <c r="C105" i="41"/>
  <c r="B116" i="40"/>
  <c r="B115" i="40"/>
  <c r="B114" i="40"/>
  <c r="B113" i="40"/>
  <c r="B112" i="40"/>
  <c r="B111" i="40"/>
  <c r="B110" i="40"/>
  <c r="B109" i="40"/>
  <c r="B108" i="40"/>
  <c r="B107" i="40"/>
  <c r="D105" i="40"/>
  <c r="C105" i="40"/>
  <c r="B116" i="39"/>
  <c r="B115" i="39"/>
  <c r="B114" i="39"/>
  <c r="B113" i="39"/>
  <c r="B112" i="39"/>
  <c r="B111" i="39"/>
  <c r="B110" i="39"/>
  <c r="B109" i="39"/>
  <c r="B117" i="39" s="1"/>
  <c r="B108" i="39"/>
  <c r="B107" i="39"/>
  <c r="D105" i="39"/>
  <c r="C105" i="39"/>
  <c r="B116" i="38"/>
  <c r="B115" i="38"/>
  <c r="B114" i="38"/>
  <c r="B113" i="38"/>
  <c r="B112" i="38"/>
  <c r="B111" i="38"/>
  <c r="B110" i="38"/>
  <c r="B109" i="38"/>
  <c r="B108" i="38"/>
  <c r="B107" i="38"/>
  <c r="D105" i="38"/>
  <c r="C105" i="38"/>
  <c r="B116" i="37"/>
  <c r="B115" i="37"/>
  <c r="B114" i="37"/>
  <c r="B113" i="37"/>
  <c r="B112" i="37"/>
  <c r="B111" i="37"/>
  <c r="B110" i="37"/>
  <c r="B109" i="37"/>
  <c r="B108" i="37"/>
  <c r="B107" i="37"/>
  <c r="D105" i="37"/>
  <c r="C105" i="37"/>
  <c r="D105" i="36"/>
  <c r="C105" i="36"/>
  <c r="B108" i="36"/>
  <c r="B109" i="36"/>
  <c r="B110" i="36"/>
  <c r="B111" i="36"/>
  <c r="B112" i="36"/>
  <c r="B113" i="36"/>
  <c r="B114" i="36"/>
  <c r="B115" i="36"/>
  <c r="B116" i="36"/>
  <c r="B107" i="36"/>
  <c r="H27" i="45"/>
  <c r="H27" i="44"/>
  <c r="H27" i="43"/>
  <c r="H27" i="42"/>
  <c r="H27" i="41"/>
  <c r="H27" i="40"/>
  <c r="H27" i="39"/>
  <c r="H27" i="38"/>
  <c r="H27" i="37"/>
  <c r="H27" i="36"/>
  <c r="B117" i="40" l="1"/>
  <c r="F25" i="49"/>
  <c r="F20" i="49"/>
  <c r="B117" i="38"/>
  <c r="B117" i="36"/>
  <c r="G27" i="49"/>
  <c r="G28" i="49" s="1"/>
  <c r="B6" i="49" s="1"/>
  <c r="E17" i="49"/>
  <c r="F17" i="49" s="1"/>
  <c r="E23" i="49"/>
  <c r="E26" i="49"/>
  <c r="E22" i="49"/>
  <c r="E19" i="49"/>
  <c r="E18" i="49"/>
  <c r="D117" i="49"/>
  <c r="F60" i="49"/>
  <c r="G60" i="49" s="1"/>
  <c r="F74" i="49"/>
  <c r="G74" i="49" s="1"/>
  <c r="F88" i="49"/>
  <c r="G88" i="49" s="1"/>
  <c r="F102" i="49"/>
  <c r="G102" i="49" s="1"/>
  <c r="B117" i="41"/>
  <c r="B117" i="37"/>
  <c r="B29" i="22"/>
  <c r="B28" i="22"/>
  <c r="B27" i="22"/>
  <c r="B26" i="22"/>
  <c r="B25" i="22"/>
  <c r="B23" i="22"/>
  <c r="B22" i="22"/>
  <c r="B21" i="22"/>
  <c r="B20" i="22"/>
  <c r="L101" i="45"/>
  <c r="L100" i="45"/>
  <c r="L99" i="45"/>
  <c r="L98" i="45"/>
  <c r="L97" i="45"/>
  <c r="L96" i="45"/>
  <c r="L95" i="45"/>
  <c r="L94" i="45"/>
  <c r="L93" i="45"/>
  <c r="L92" i="45"/>
  <c r="L87" i="45"/>
  <c r="L86" i="45"/>
  <c r="L85" i="45"/>
  <c r="L84" i="45"/>
  <c r="L83" i="45"/>
  <c r="L82" i="45"/>
  <c r="L81" i="45"/>
  <c r="L80" i="45"/>
  <c r="L79" i="45"/>
  <c r="L78" i="45"/>
  <c r="L73" i="45"/>
  <c r="L72" i="45"/>
  <c r="L71" i="45"/>
  <c r="L70" i="45"/>
  <c r="L69" i="45"/>
  <c r="L68" i="45"/>
  <c r="L67" i="45"/>
  <c r="L66" i="45"/>
  <c r="L65" i="45"/>
  <c r="L64" i="45"/>
  <c r="L59" i="45"/>
  <c r="L58" i="45"/>
  <c r="L57" i="45"/>
  <c r="E57" i="45"/>
  <c r="L56" i="45"/>
  <c r="L55" i="45"/>
  <c r="L54" i="45"/>
  <c r="L53" i="45"/>
  <c r="L52" i="45"/>
  <c r="L51" i="45"/>
  <c r="L50" i="45"/>
  <c r="L45" i="45"/>
  <c r="E45" i="45"/>
  <c r="E101" i="45" s="1"/>
  <c r="L44" i="45"/>
  <c r="E44" i="45"/>
  <c r="E86" i="45" s="1"/>
  <c r="L43" i="45"/>
  <c r="E43" i="45"/>
  <c r="E99" i="45" s="1"/>
  <c r="L42" i="45"/>
  <c r="E42" i="45"/>
  <c r="E84" i="45" s="1"/>
  <c r="L41" i="45"/>
  <c r="E41" i="45"/>
  <c r="E97" i="45" s="1"/>
  <c r="L40" i="45"/>
  <c r="E40" i="45"/>
  <c r="E82" i="45" s="1"/>
  <c r="L39" i="45"/>
  <c r="E39" i="45"/>
  <c r="E95" i="45" s="1"/>
  <c r="L38" i="45"/>
  <c r="E38" i="45"/>
  <c r="E80" i="45" s="1"/>
  <c r="L37" i="45"/>
  <c r="E37" i="45"/>
  <c r="E93" i="45" s="1"/>
  <c r="L36" i="45"/>
  <c r="E36" i="45"/>
  <c r="B25" i="45"/>
  <c r="C24" i="45"/>
  <c r="D23" i="45"/>
  <c r="E23" i="45" s="1"/>
  <c r="D8" i="45"/>
  <c r="D9" i="45" s="1"/>
  <c r="D10" i="45" s="1"/>
  <c r="C8" i="45"/>
  <c r="C9" i="45" s="1"/>
  <c r="C10" i="45" s="1"/>
  <c r="B8" i="45"/>
  <c r="B9" i="45" s="1"/>
  <c r="B10" i="45" s="1"/>
  <c r="L101" i="44"/>
  <c r="L100" i="44"/>
  <c r="L99" i="44"/>
  <c r="L98" i="44"/>
  <c r="L97" i="44"/>
  <c r="L96" i="44"/>
  <c r="L95" i="44"/>
  <c r="L94" i="44"/>
  <c r="L93" i="44"/>
  <c r="L92" i="44"/>
  <c r="L87" i="44"/>
  <c r="L86" i="44"/>
  <c r="L85" i="44"/>
  <c r="L84" i="44"/>
  <c r="L83" i="44"/>
  <c r="L82" i="44"/>
  <c r="L81" i="44"/>
  <c r="L80" i="44"/>
  <c r="L79" i="44"/>
  <c r="L78" i="44"/>
  <c r="L73" i="44"/>
  <c r="L72" i="44"/>
  <c r="L71" i="44"/>
  <c r="L70" i="44"/>
  <c r="L69" i="44"/>
  <c r="L68" i="44"/>
  <c r="L67" i="44"/>
  <c r="L66" i="44"/>
  <c r="L65" i="44"/>
  <c r="L64" i="44"/>
  <c r="L59" i="44"/>
  <c r="E59" i="44"/>
  <c r="L58" i="44"/>
  <c r="L57" i="44"/>
  <c r="L56" i="44"/>
  <c r="L55" i="44"/>
  <c r="L54" i="44"/>
  <c r="L53" i="44"/>
  <c r="L52" i="44"/>
  <c r="L51" i="44"/>
  <c r="L50" i="44"/>
  <c r="L45" i="44"/>
  <c r="E45" i="44"/>
  <c r="E101" i="44" s="1"/>
  <c r="L44" i="44"/>
  <c r="E44" i="44"/>
  <c r="E86" i="44" s="1"/>
  <c r="L43" i="44"/>
  <c r="E43" i="44"/>
  <c r="E99" i="44" s="1"/>
  <c r="L42" i="44"/>
  <c r="E42" i="44"/>
  <c r="E84" i="44" s="1"/>
  <c r="L41" i="44"/>
  <c r="E41" i="44"/>
  <c r="E97" i="44" s="1"/>
  <c r="L40" i="44"/>
  <c r="E40" i="44"/>
  <c r="E82" i="44" s="1"/>
  <c r="L39" i="44"/>
  <c r="E39" i="44"/>
  <c r="E95" i="44" s="1"/>
  <c r="L38" i="44"/>
  <c r="E38" i="44"/>
  <c r="E80" i="44" s="1"/>
  <c r="L37" i="44"/>
  <c r="E37" i="44"/>
  <c r="E93" i="44" s="1"/>
  <c r="L36" i="44"/>
  <c r="C26" i="44"/>
  <c r="C23" i="44"/>
  <c r="D9" i="44"/>
  <c r="D10" i="44" s="1"/>
  <c r="D8" i="44"/>
  <c r="C8" i="44"/>
  <c r="C9" i="44" s="1"/>
  <c r="C10" i="44" s="1"/>
  <c r="B8" i="44"/>
  <c r="B9" i="44" s="1"/>
  <c r="B10" i="44" s="1"/>
  <c r="B19" i="43"/>
  <c r="B20" i="43"/>
  <c r="C20" i="43"/>
  <c r="D21" i="43"/>
  <c r="E21" i="43" s="1"/>
  <c r="C24" i="43"/>
  <c r="L101" i="43"/>
  <c r="L100" i="43"/>
  <c r="L99" i="43"/>
  <c r="L98" i="43"/>
  <c r="L97" i="43"/>
  <c r="L96" i="43"/>
  <c r="L95" i="43"/>
  <c r="L94" i="43"/>
  <c r="L93" i="43"/>
  <c r="L92" i="43"/>
  <c r="L87" i="43"/>
  <c r="L86" i="43"/>
  <c r="L85" i="43"/>
  <c r="L84" i="43"/>
  <c r="L83" i="43"/>
  <c r="L82" i="43"/>
  <c r="L81" i="43"/>
  <c r="L80" i="43"/>
  <c r="L79" i="43"/>
  <c r="L78" i="43"/>
  <c r="L73" i="43"/>
  <c r="L72" i="43"/>
  <c r="L71" i="43"/>
  <c r="L70" i="43"/>
  <c r="L69" i="43"/>
  <c r="L68" i="43"/>
  <c r="L67" i="43"/>
  <c r="L66" i="43"/>
  <c r="L65" i="43"/>
  <c r="L64" i="43"/>
  <c r="L59" i="43"/>
  <c r="L58" i="43"/>
  <c r="L57" i="43"/>
  <c r="L56" i="43"/>
  <c r="L55" i="43"/>
  <c r="L54" i="43"/>
  <c r="L53" i="43"/>
  <c r="L52" i="43"/>
  <c r="L51" i="43"/>
  <c r="L50" i="43"/>
  <c r="L45" i="43"/>
  <c r="E45" i="43"/>
  <c r="E101" i="43" s="1"/>
  <c r="L44" i="43"/>
  <c r="E44" i="43"/>
  <c r="E86" i="43" s="1"/>
  <c r="L43" i="43"/>
  <c r="E43" i="43"/>
  <c r="E99" i="43" s="1"/>
  <c r="L42" i="43"/>
  <c r="E42" i="43"/>
  <c r="E84" i="43" s="1"/>
  <c r="L41" i="43"/>
  <c r="E41" i="43"/>
  <c r="E97" i="43" s="1"/>
  <c r="L40" i="43"/>
  <c r="E40" i="43"/>
  <c r="E82" i="43" s="1"/>
  <c r="L39" i="43"/>
  <c r="E39" i="43"/>
  <c r="E95" i="43" s="1"/>
  <c r="L38" i="43"/>
  <c r="E38" i="43"/>
  <c r="E80" i="43" s="1"/>
  <c r="L37" i="43"/>
  <c r="E37" i="43"/>
  <c r="E93" i="43" s="1"/>
  <c r="B18" i="43"/>
  <c r="L36" i="43"/>
  <c r="E36" i="43"/>
  <c r="C23" i="43"/>
  <c r="B22" i="43"/>
  <c r="C21" i="43"/>
  <c r="C19" i="43"/>
  <c r="D8" i="43"/>
  <c r="D9" i="43" s="1"/>
  <c r="D10" i="43" s="1"/>
  <c r="C8" i="43"/>
  <c r="C9" i="43" s="1"/>
  <c r="C10" i="43" s="1"/>
  <c r="B8" i="43"/>
  <c r="B9" i="43" s="1"/>
  <c r="B10" i="43" s="1"/>
  <c r="B21" i="42"/>
  <c r="C21" i="42"/>
  <c r="L101" i="42"/>
  <c r="L100" i="42"/>
  <c r="L99" i="42"/>
  <c r="L98" i="42"/>
  <c r="L97" i="42"/>
  <c r="L96" i="42"/>
  <c r="L95" i="42"/>
  <c r="L94" i="42"/>
  <c r="L93" i="42"/>
  <c r="L92" i="42"/>
  <c r="L87" i="42"/>
  <c r="L86" i="42"/>
  <c r="L85" i="42"/>
  <c r="L84" i="42"/>
  <c r="L83" i="42"/>
  <c r="L82" i="42"/>
  <c r="L81" i="42"/>
  <c r="L80" i="42"/>
  <c r="L79" i="42"/>
  <c r="L78" i="42"/>
  <c r="L73" i="42"/>
  <c r="L72" i="42"/>
  <c r="L71" i="42"/>
  <c r="L70" i="42"/>
  <c r="L69" i="42"/>
  <c r="L68" i="42"/>
  <c r="L67" i="42"/>
  <c r="L66" i="42"/>
  <c r="L65" i="42"/>
  <c r="L64" i="42"/>
  <c r="L59" i="42"/>
  <c r="E59" i="42"/>
  <c r="L58" i="42"/>
  <c r="L57" i="42"/>
  <c r="L56" i="42"/>
  <c r="L55" i="42"/>
  <c r="L54" i="42"/>
  <c r="L53" i="42"/>
  <c r="L52" i="42"/>
  <c r="L51" i="42"/>
  <c r="L50" i="42"/>
  <c r="L45" i="42"/>
  <c r="E45" i="42"/>
  <c r="E101" i="42" s="1"/>
  <c r="L44" i="42"/>
  <c r="E44" i="42"/>
  <c r="E86" i="42" s="1"/>
  <c r="L43" i="42"/>
  <c r="E43" i="42"/>
  <c r="E99" i="42" s="1"/>
  <c r="D24" i="42"/>
  <c r="L42" i="42"/>
  <c r="E42" i="42"/>
  <c r="E84" i="42" s="1"/>
  <c r="B23" i="42"/>
  <c r="L41" i="42"/>
  <c r="E41" i="42"/>
  <c r="E97" i="42" s="1"/>
  <c r="L40" i="42"/>
  <c r="E40" i="42"/>
  <c r="E82" i="42" s="1"/>
  <c r="L39" i="42"/>
  <c r="E39" i="42"/>
  <c r="E95" i="42" s="1"/>
  <c r="D20" i="42"/>
  <c r="L38" i="42"/>
  <c r="E38" i="42"/>
  <c r="E80" i="42" s="1"/>
  <c r="B19" i="42"/>
  <c r="L37" i="42"/>
  <c r="E37" i="42"/>
  <c r="E93" i="42" s="1"/>
  <c r="B18" i="42"/>
  <c r="L36" i="42"/>
  <c r="E36" i="42"/>
  <c r="B17" i="42"/>
  <c r="D8" i="42"/>
  <c r="D9" i="42" s="1"/>
  <c r="D10" i="42" s="1"/>
  <c r="C8" i="42"/>
  <c r="C9" i="42" s="1"/>
  <c r="C10" i="42" s="1"/>
  <c r="B8" i="42"/>
  <c r="B9" i="42" s="1"/>
  <c r="B10" i="42" s="1"/>
  <c r="B20" i="41"/>
  <c r="L101" i="41"/>
  <c r="L100" i="41"/>
  <c r="L99" i="41"/>
  <c r="L98" i="41"/>
  <c r="L97" i="41"/>
  <c r="L96" i="41"/>
  <c r="L95" i="41"/>
  <c r="L94" i="41"/>
  <c r="L93" i="41"/>
  <c r="L92" i="41"/>
  <c r="L87" i="41"/>
  <c r="L86" i="41"/>
  <c r="L85" i="41"/>
  <c r="L84" i="41"/>
  <c r="L83" i="41"/>
  <c r="L82" i="41"/>
  <c r="L81" i="41"/>
  <c r="L80" i="41"/>
  <c r="L79" i="41"/>
  <c r="L78" i="41"/>
  <c r="L73" i="41"/>
  <c r="L72" i="41"/>
  <c r="L71" i="41"/>
  <c r="L70" i="41"/>
  <c r="L69" i="41"/>
  <c r="L68" i="41"/>
  <c r="L67" i="41"/>
  <c r="L66" i="41"/>
  <c r="L65" i="41"/>
  <c r="C18" i="41"/>
  <c r="L64" i="41"/>
  <c r="L59" i="41"/>
  <c r="L58" i="41"/>
  <c r="L57" i="41"/>
  <c r="L56" i="41"/>
  <c r="L55" i="41"/>
  <c r="L54" i="41"/>
  <c r="L53" i="41"/>
  <c r="L52" i="41"/>
  <c r="L51" i="41"/>
  <c r="L50" i="41"/>
  <c r="L45" i="41"/>
  <c r="E45" i="41"/>
  <c r="E101" i="41" s="1"/>
  <c r="D26" i="41"/>
  <c r="E26" i="41" s="1"/>
  <c r="I27" i="41" s="1"/>
  <c r="L44" i="41"/>
  <c r="E44" i="41"/>
  <c r="E86" i="41" s="1"/>
  <c r="D25" i="41"/>
  <c r="E25" i="41" s="1"/>
  <c r="L43" i="41"/>
  <c r="E43" i="41"/>
  <c r="E99" i="41" s="1"/>
  <c r="C24" i="41"/>
  <c r="B24" i="41"/>
  <c r="L42" i="41"/>
  <c r="E42" i="41"/>
  <c r="E84" i="41" s="1"/>
  <c r="B23" i="41"/>
  <c r="L41" i="41"/>
  <c r="E41" i="41"/>
  <c r="E97" i="41" s="1"/>
  <c r="L40" i="41"/>
  <c r="E40" i="41"/>
  <c r="E82" i="41" s="1"/>
  <c r="L39" i="41"/>
  <c r="E39" i="41"/>
  <c r="E95" i="41" s="1"/>
  <c r="L38" i="41"/>
  <c r="E38" i="41"/>
  <c r="E80" i="41" s="1"/>
  <c r="L37" i="41"/>
  <c r="E37" i="41"/>
  <c r="E93" i="41" s="1"/>
  <c r="L36" i="41"/>
  <c r="E36" i="41"/>
  <c r="B26" i="41"/>
  <c r="C25" i="41"/>
  <c r="B22" i="41"/>
  <c r="D19" i="41"/>
  <c r="E19" i="41" s="1"/>
  <c r="B19" i="41"/>
  <c r="D8" i="41"/>
  <c r="D9" i="41" s="1"/>
  <c r="D10" i="41" s="1"/>
  <c r="C8" i="41"/>
  <c r="C9" i="41" s="1"/>
  <c r="C10" i="41" s="1"/>
  <c r="B8" i="41"/>
  <c r="B9" i="41" s="1"/>
  <c r="L101" i="40"/>
  <c r="L100" i="40"/>
  <c r="L99" i="40"/>
  <c r="L98" i="40"/>
  <c r="L97" i="40"/>
  <c r="L96" i="40"/>
  <c r="L95" i="40"/>
  <c r="L94" i="40"/>
  <c r="L93" i="40"/>
  <c r="L92" i="40"/>
  <c r="L87" i="40"/>
  <c r="L86" i="40"/>
  <c r="L85" i="40"/>
  <c r="L84" i="40"/>
  <c r="L83" i="40"/>
  <c r="L82" i="40"/>
  <c r="L81" i="40"/>
  <c r="L80" i="40"/>
  <c r="L79" i="40"/>
  <c r="L78" i="40"/>
  <c r="L73" i="40"/>
  <c r="L72" i="40"/>
  <c r="L71" i="40"/>
  <c r="L70" i="40"/>
  <c r="L69" i="40"/>
  <c r="L68" i="40"/>
  <c r="L67" i="40"/>
  <c r="L66" i="40"/>
  <c r="L65" i="40"/>
  <c r="L64" i="40"/>
  <c r="L59" i="40"/>
  <c r="L58" i="40"/>
  <c r="L57" i="40"/>
  <c r="L56" i="40"/>
  <c r="L55" i="40"/>
  <c r="L54" i="40"/>
  <c r="L53" i="40"/>
  <c r="L52" i="40"/>
  <c r="L51" i="40"/>
  <c r="L50" i="40"/>
  <c r="L45" i="40"/>
  <c r="E45" i="40"/>
  <c r="L44" i="40"/>
  <c r="E44" i="40"/>
  <c r="L43" i="40"/>
  <c r="E43" i="40"/>
  <c r="L42" i="40"/>
  <c r="E42" i="40"/>
  <c r="L41" i="40"/>
  <c r="E41" i="40"/>
  <c r="L40" i="40"/>
  <c r="E40" i="40"/>
  <c r="L39" i="40"/>
  <c r="E39" i="40"/>
  <c r="L38" i="40"/>
  <c r="E38" i="40"/>
  <c r="L37" i="40"/>
  <c r="E37" i="40"/>
  <c r="L36" i="40"/>
  <c r="E36" i="40"/>
  <c r="C9" i="40"/>
  <c r="C10" i="40" s="1"/>
  <c r="B9" i="40"/>
  <c r="B10" i="40" s="1"/>
  <c r="D8" i="40"/>
  <c r="D9" i="40" s="1"/>
  <c r="D10" i="40" s="1"/>
  <c r="C8" i="40"/>
  <c r="B8" i="40"/>
  <c r="L101" i="39"/>
  <c r="L100" i="39"/>
  <c r="L99" i="39"/>
  <c r="L98" i="39"/>
  <c r="L97" i="39"/>
  <c r="L96" i="39"/>
  <c r="L95" i="39"/>
  <c r="L94" i="39"/>
  <c r="L93" i="39"/>
  <c r="L92" i="39"/>
  <c r="L87" i="39"/>
  <c r="L86" i="39"/>
  <c r="L85" i="39"/>
  <c r="L84" i="39"/>
  <c r="L83" i="39"/>
  <c r="L82" i="39"/>
  <c r="L81" i="39"/>
  <c r="L80" i="39"/>
  <c r="L79" i="39"/>
  <c r="L78" i="39"/>
  <c r="L73" i="39"/>
  <c r="L72" i="39"/>
  <c r="L71" i="39"/>
  <c r="L70" i="39"/>
  <c r="L69" i="39"/>
  <c r="L68" i="39"/>
  <c r="L67" i="39"/>
  <c r="L66" i="39"/>
  <c r="L65" i="39"/>
  <c r="L64" i="39"/>
  <c r="L59" i="39"/>
  <c r="L58" i="39"/>
  <c r="L57" i="39"/>
  <c r="L56" i="39"/>
  <c r="L55" i="39"/>
  <c r="L54" i="39"/>
  <c r="L53" i="39"/>
  <c r="L52" i="39"/>
  <c r="L51" i="39"/>
  <c r="L50" i="39"/>
  <c r="L45" i="39"/>
  <c r="E45" i="39"/>
  <c r="E101" i="39" s="1"/>
  <c r="L44" i="39"/>
  <c r="E44" i="39"/>
  <c r="E86" i="39" s="1"/>
  <c r="B25" i="39"/>
  <c r="L43" i="39"/>
  <c r="E43" i="39"/>
  <c r="E99" i="39" s="1"/>
  <c r="L42" i="39"/>
  <c r="E42" i="39"/>
  <c r="E84" i="39" s="1"/>
  <c r="L41" i="39"/>
  <c r="E41" i="39"/>
  <c r="E97" i="39" s="1"/>
  <c r="L40" i="39"/>
  <c r="E40" i="39"/>
  <c r="E82" i="39" s="1"/>
  <c r="L39" i="39"/>
  <c r="E39" i="39"/>
  <c r="E95" i="39" s="1"/>
  <c r="L38" i="39"/>
  <c r="E38" i="39"/>
  <c r="E80" i="39" s="1"/>
  <c r="L37" i="39"/>
  <c r="E37" i="39"/>
  <c r="E93" i="39" s="1"/>
  <c r="D18" i="39"/>
  <c r="E18" i="39" s="1"/>
  <c r="B18" i="39"/>
  <c r="L36" i="39"/>
  <c r="E36" i="39"/>
  <c r="D9" i="39"/>
  <c r="D10" i="39" s="1"/>
  <c r="D8" i="39"/>
  <c r="C8" i="39"/>
  <c r="C9" i="39" s="1"/>
  <c r="C10" i="39" s="1"/>
  <c r="B8" i="39"/>
  <c r="B9" i="39" s="1"/>
  <c r="B10" i="39" s="1"/>
  <c r="L101" i="38"/>
  <c r="L100" i="38"/>
  <c r="L99" i="38"/>
  <c r="L98" i="38"/>
  <c r="L97" i="38"/>
  <c r="L96" i="38"/>
  <c r="L95" i="38"/>
  <c r="L94" i="38"/>
  <c r="L93" i="38"/>
  <c r="L92" i="38"/>
  <c r="L87" i="38"/>
  <c r="L86" i="38"/>
  <c r="L85" i="38"/>
  <c r="L84" i="38"/>
  <c r="L83" i="38"/>
  <c r="L82" i="38"/>
  <c r="L81" i="38"/>
  <c r="L80" i="38"/>
  <c r="L79" i="38"/>
  <c r="L78" i="38"/>
  <c r="L73" i="38"/>
  <c r="L72" i="38"/>
  <c r="L71" i="38"/>
  <c r="L70" i="38"/>
  <c r="L69" i="38"/>
  <c r="L68" i="38"/>
  <c r="L67" i="38"/>
  <c r="L66" i="38"/>
  <c r="L65" i="38"/>
  <c r="L64" i="38"/>
  <c r="L59" i="38"/>
  <c r="L58" i="38"/>
  <c r="L57" i="38"/>
  <c r="L56" i="38"/>
  <c r="L55" i="38"/>
  <c r="L54" i="38"/>
  <c r="L53" i="38"/>
  <c r="L52" i="38"/>
  <c r="L51" i="38"/>
  <c r="L50" i="38"/>
  <c r="L45" i="38"/>
  <c r="E45" i="38"/>
  <c r="E101" i="38" s="1"/>
  <c r="D26" i="38"/>
  <c r="E26" i="38" s="1"/>
  <c r="I27" i="38" s="1"/>
  <c r="L44" i="38"/>
  <c r="E44" i="38"/>
  <c r="E86" i="38" s="1"/>
  <c r="B25" i="38"/>
  <c r="L43" i="38"/>
  <c r="E43" i="38"/>
  <c r="E99" i="38" s="1"/>
  <c r="L42" i="38"/>
  <c r="E42" i="38"/>
  <c r="E84" i="38" s="1"/>
  <c r="L41" i="38"/>
  <c r="E41" i="38"/>
  <c r="L40" i="38"/>
  <c r="E40" i="38"/>
  <c r="L39" i="38"/>
  <c r="E39" i="38"/>
  <c r="C20" i="38"/>
  <c r="L38" i="38"/>
  <c r="E38" i="38"/>
  <c r="E80" i="38" s="1"/>
  <c r="C19" i="38"/>
  <c r="L37" i="38"/>
  <c r="E37" i="38"/>
  <c r="E93" i="38" s="1"/>
  <c r="D18" i="38"/>
  <c r="E18" i="38" s="1"/>
  <c r="C18" i="38"/>
  <c r="L36" i="38"/>
  <c r="E36" i="38"/>
  <c r="C17" i="38"/>
  <c r="C26" i="38"/>
  <c r="C25" i="38"/>
  <c r="C24" i="38"/>
  <c r="C23" i="38"/>
  <c r="C21" i="38"/>
  <c r="B9" i="38"/>
  <c r="B10" i="38" s="1"/>
  <c r="D8" i="38"/>
  <c r="D9" i="38" s="1"/>
  <c r="D10" i="38" s="1"/>
  <c r="C8" i="38"/>
  <c r="C9" i="38" s="1"/>
  <c r="C10" i="38" s="1"/>
  <c r="B8" i="38"/>
  <c r="C21" i="37"/>
  <c r="B22" i="37"/>
  <c r="L101" i="37"/>
  <c r="L100" i="37"/>
  <c r="L99" i="37"/>
  <c r="L98" i="37"/>
  <c r="L97" i="37"/>
  <c r="L96" i="37"/>
  <c r="L95" i="37"/>
  <c r="L94" i="37"/>
  <c r="L93" i="37"/>
  <c r="L92" i="37"/>
  <c r="L87" i="37"/>
  <c r="L86" i="37"/>
  <c r="L85" i="37"/>
  <c r="L84" i="37"/>
  <c r="L83" i="37"/>
  <c r="L82" i="37"/>
  <c r="L81" i="37"/>
  <c r="L80" i="37"/>
  <c r="L79" i="37"/>
  <c r="L78" i="37"/>
  <c r="L73" i="37"/>
  <c r="L72" i="37"/>
  <c r="L71" i="37"/>
  <c r="L70" i="37"/>
  <c r="L69" i="37"/>
  <c r="L68" i="37"/>
  <c r="L67" i="37"/>
  <c r="L66" i="37"/>
  <c r="L65" i="37"/>
  <c r="L64" i="37"/>
  <c r="L59" i="37"/>
  <c r="L58" i="37"/>
  <c r="L57" i="37"/>
  <c r="L56" i="37"/>
  <c r="E56" i="37"/>
  <c r="L55" i="37"/>
  <c r="L54" i="37"/>
  <c r="L53" i="37"/>
  <c r="L52" i="37"/>
  <c r="L51" i="37"/>
  <c r="L50" i="37"/>
  <c r="L45" i="37"/>
  <c r="E45" i="37"/>
  <c r="E101" i="37" s="1"/>
  <c r="D26" i="37"/>
  <c r="E26" i="37" s="1"/>
  <c r="L44" i="37"/>
  <c r="E44" i="37"/>
  <c r="E86" i="37" s="1"/>
  <c r="L43" i="37"/>
  <c r="E43" i="37"/>
  <c r="E99" i="37" s="1"/>
  <c r="B24" i="37"/>
  <c r="L42" i="37"/>
  <c r="E42" i="37"/>
  <c r="E84" i="37" s="1"/>
  <c r="L41" i="37"/>
  <c r="E41" i="37"/>
  <c r="L40" i="37"/>
  <c r="E40" i="37"/>
  <c r="E82" i="37" s="1"/>
  <c r="L39" i="37"/>
  <c r="E39" i="37"/>
  <c r="L38" i="37"/>
  <c r="E38" i="37"/>
  <c r="L37" i="37"/>
  <c r="E37" i="37"/>
  <c r="E93" i="37" s="1"/>
  <c r="C18" i="37"/>
  <c r="L36" i="37"/>
  <c r="E36" i="37"/>
  <c r="D8" i="37"/>
  <c r="D9" i="37" s="1"/>
  <c r="D10" i="37" s="1"/>
  <c r="C8" i="37"/>
  <c r="C9" i="37" s="1"/>
  <c r="C10" i="37" s="1"/>
  <c r="B8" i="37"/>
  <c r="B9" i="37" s="1"/>
  <c r="L101" i="36"/>
  <c r="L100" i="36"/>
  <c r="L99" i="36"/>
  <c r="L98" i="36"/>
  <c r="L97" i="36"/>
  <c r="L96" i="36"/>
  <c r="L95" i="36"/>
  <c r="L94" i="36"/>
  <c r="L93" i="36"/>
  <c r="L92" i="36"/>
  <c r="L87" i="36"/>
  <c r="L86" i="36"/>
  <c r="L85" i="36"/>
  <c r="L84" i="36"/>
  <c r="L83" i="36"/>
  <c r="L82" i="36"/>
  <c r="L81" i="36"/>
  <c r="L80" i="36"/>
  <c r="L79" i="36"/>
  <c r="L78" i="36"/>
  <c r="L73" i="36"/>
  <c r="L72" i="36"/>
  <c r="L71" i="36"/>
  <c r="C24" i="36"/>
  <c r="L70" i="36"/>
  <c r="L69" i="36"/>
  <c r="L68" i="36"/>
  <c r="L67" i="36"/>
  <c r="L66" i="36"/>
  <c r="L65" i="36"/>
  <c r="L64" i="36"/>
  <c r="L59" i="36"/>
  <c r="L58" i="36"/>
  <c r="L57" i="36"/>
  <c r="D24" i="36"/>
  <c r="E24" i="36" s="1"/>
  <c r="L56" i="36"/>
  <c r="L55" i="36"/>
  <c r="L54" i="36"/>
  <c r="L53" i="36"/>
  <c r="L52" i="36"/>
  <c r="L51" i="36"/>
  <c r="L50" i="36"/>
  <c r="L45" i="36"/>
  <c r="E45" i="36"/>
  <c r="E101" i="36" s="1"/>
  <c r="L44" i="36"/>
  <c r="E44" i="36"/>
  <c r="E86" i="36" s="1"/>
  <c r="D25" i="36"/>
  <c r="E25" i="36" s="1"/>
  <c r="L43" i="36"/>
  <c r="E43" i="36"/>
  <c r="E99" i="36" s="1"/>
  <c r="B24" i="36"/>
  <c r="L42" i="36"/>
  <c r="E42" i="36"/>
  <c r="L41" i="36"/>
  <c r="E41" i="36"/>
  <c r="L40" i="36"/>
  <c r="E40" i="36"/>
  <c r="L39" i="36"/>
  <c r="E39" i="36"/>
  <c r="L38" i="36"/>
  <c r="E38" i="36"/>
  <c r="L37" i="36"/>
  <c r="E37" i="36"/>
  <c r="L36" i="36"/>
  <c r="E36" i="36"/>
  <c r="D26" i="36"/>
  <c r="E26" i="36" s="1"/>
  <c r="D9" i="36"/>
  <c r="D10" i="36" s="1"/>
  <c r="D8" i="36"/>
  <c r="C8" i="36"/>
  <c r="C9" i="36" s="1"/>
  <c r="C10" i="36" s="1"/>
  <c r="B8" i="36"/>
  <c r="B9" i="36" s="1"/>
  <c r="E18" i="33"/>
  <c r="E19" i="33"/>
  <c r="E20" i="33"/>
  <c r="E21" i="33"/>
  <c r="E22" i="33"/>
  <c r="E23" i="33"/>
  <c r="E24" i="33"/>
  <c r="E25" i="33"/>
  <c r="E26" i="33"/>
  <c r="D100" i="32"/>
  <c r="C100" i="32"/>
  <c r="B100" i="32"/>
  <c r="D99" i="32"/>
  <c r="C99" i="32"/>
  <c r="B99" i="32"/>
  <c r="D98" i="32"/>
  <c r="C98" i="32"/>
  <c r="B98" i="32"/>
  <c r="D97" i="32"/>
  <c r="C97" i="32"/>
  <c r="B97" i="32"/>
  <c r="D96" i="32"/>
  <c r="C96" i="32"/>
  <c r="B96" i="32"/>
  <c r="D95" i="32"/>
  <c r="C95" i="32"/>
  <c r="B95" i="32"/>
  <c r="D94" i="32"/>
  <c r="C94" i="32"/>
  <c r="B94" i="32"/>
  <c r="D93" i="32"/>
  <c r="C93" i="32"/>
  <c r="B93" i="32"/>
  <c r="D92" i="32"/>
  <c r="C92" i="32"/>
  <c r="B92" i="32"/>
  <c r="D91" i="32"/>
  <c r="C91" i="32"/>
  <c r="B91" i="32"/>
  <c r="D86" i="32"/>
  <c r="C86" i="32"/>
  <c r="B86" i="32"/>
  <c r="D85" i="32"/>
  <c r="C85" i="32"/>
  <c r="B85" i="32"/>
  <c r="D84" i="32"/>
  <c r="C84" i="32"/>
  <c r="B84" i="32"/>
  <c r="D83" i="32"/>
  <c r="C83" i="32"/>
  <c r="B83" i="32"/>
  <c r="D82" i="32"/>
  <c r="C82" i="32"/>
  <c r="B82" i="32"/>
  <c r="D81" i="32"/>
  <c r="C81" i="32"/>
  <c r="B81" i="32"/>
  <c r="D80" i="32"/>
  <c r="C80" i="32"/>
  <c r="B80" i="32"/>
  <c r="D79" i="32"/>
  <c r="C79" i="32"/>
  <c r="B79" i="32"/>
  <c r="D78" i="32"/>
  <c r="C78" i="32"/>
  <c r="B78" i="32"/>
  <c r="D77" i="32"/>
  <c r="C77" i="32"/>
  <c r="B77" i="32"/>
  <c r="D72" i="32"/>
  <c r="C72" i="32"/>
  <c r="B72" i="32"/>
  <c r="D71" i="32"/>
  <c r="C71" i="32"/>
  <c r="B71" i="32"/>
  <c r="D70" i="32"/>
  <c r="C70" i="32"/>
  <c r="B70" i="32"/>
  <c r="D69" i="32"/>
  <c r="C69" i="32"/>
  <c r="B69" i="32"/>
  <c r="D68" i="32"/>
  <c r="C68" i="32"/>
  <c r="B68" i="32"/>
  <c r="D67" i="32"/>
  <c r="C67" i="32"/>
  <c r="B67" i="32"/>
  <c r="D66" i="32"/>
  <c r="C66" i="32"/>
  <c r="B66" i="32"/>
  <c r="D65" i="32"/>
  <c r="C65" i="32"/>
  <c r="B65" i="32"/>
  <c r="D64" i="32"/>
  <c r="C64" i="32"/>
  <c r="B64" i="32"/>
  <c r="D63" i="32"/>
  <c r="C63" i="32"/>
  <c r="B63" i="32"/>
  <c r="D58" i="32"/>
  <c r="C58" i="32"/>
  <c r="B58" i="32"/>
  <c r="D57" i="32"/>
  <c r="C57" i="32"/>
  <c r="B57" i="32"/>
  <c r="D56" i="32"/>
  <c r="C56" i="32"/>
  <c r="B56" i="32"/>
  <c r="D55" i="32"/>
  <c r="C55" i="32"/>
  <c r="B55" i="32"/>
  <c r="D54" i="32"/>
  <c r="C54" i="32"/>
  <c r="B54" i="32"/>
  <c r="D53" i="32"/>
  <c r="C53" i="32"/>
  <c r="B53" i="32"/>
  <c r="D52" i="32"/>
  <c r="C52" i="32"/>
  <c r="B52" i="32"/>
  <c r="D51" i="32"/>
  <c r="C51" i="32"/>
  <c r="B51" i="32"/>
  <c r="D50" i="32"/>
  <c r="C50" i="32"/>
  <c r="B50" i="32"/>
  <c r="D49" i="32"/>
  <c r="C49" i="32"/>
  <c r="B49" i="32"/>
  <c r="B36" i="32"/>
  <c r="C36" i="32"/>
  <c r="D36" i="32"/>
  <c r="B37" i="32"/>
  <c r="C37" i="32"/>
  <c r="D37" i="32"/>
  <c r="B38" i="32"/>
  <c r="C38" i="32"/>
  <c r="D38" i="32"/>
  <c r="B39" i="32"/>
  <c r="C39" i="32"/>
  <c r="D39" i="32"/>
  <c r="B40" i="32"/>
  <c r="C40" i="32"/>
  <c r="D40" i="32"/>
  <c r="B41" i="32"/>
  <c r="C41" i="32"/>
  <c r="D41" i="32"/>
  <c r="B42" i="32"/>
  <c r="C42" i="32"/>
  <c r="D42" i="32"/>
  <c r="B43" i="32"/>
  <c r="C43" i="32"/>
  <c r="D43" i="32"/>
  <c r="B44" i="32"/>
  <c r="C44" i="32"/>
  <c r="D44" i="32"/>
  <c r="C35" i="32"/>
  <c r="D35" i="32"/>
  <c r="B35" i="32"/>
  <c r="D100" i="31"/>
  <c r="C100" i="31"/>
  <c r="B100" i="31"/>
  <c r="D99" i="31"/>
  <c r="C99" i="31"/>
  <c r="B99" i="31"/>
  <c r="D98" i="31"/>
  <c r="C98" i="31"/>
  <c r="B98" i="31"/>
  <c r="D97" i="31"/>
  <c r="C97" i="31"/>
  <c r="B97" i="31"/>
  <c r="D96" i="31"/>
  <c r="C96" i="31"/>
  <c r="B96" i="31"/>
  <c r="D95" i="31"/>
  <c r="C95" i="31"/>
  <c r="B95" i="31"/>
  <c r="D94" i="31"/>
  <c r="C94" i="31"/>
  <c r="B94" i="31"/>
  <c r="D93" i="31"/>
  <c r="C93" i="31"/>
  <c r="B93" i="31"/>
  <c r="D92" i="31"/>
  <c r="C92" i="31"/>
  <c r="B92" i="31"/>
  <c r="D91" i="31"/>
  <c r="C91" i="31"/>
  <c r="B91" i="31"/>
  <c r="D86" i="31"/>
  <c r="C86" i="31"/>
  <c r="B86" i="31"/>
  <c r="D85" i="31"/>
  <c r="C85" i="31"/>
  <c r="B85" i="31"/>
  <c r="D84" i="31"/>
  <c r="C84" i="31"/>
  <c r="B84" i="31"/>
  <c r="D83" i="31"/>
  <c r="C83" i="31"/>
  <c r="B83" i="31"/>
  <c r="D82" i="31"/>
  <c r="C82" i="31"/>
  <c r="B82" i="31"/>
  <c r="D81" i="31"/>
  <c r="C81" i="31"/>
  <c r="B81" i="31"/>
  <c r="D80" i="31"/>
  <c r="C80" i="31"/>
  <c r="B80" i="31"/>
  <c r="D79" i="31"/>
  <c r="C79" i="31"/>
  <c r="B79" i="31"/>
  <c r="D78" i="31"/>
  <c r="C78" i="31"/>
  <c r="B78" i="31"/>
  <c r="D77" i="31"/>
  <c r="C77" i="31"/>
  <c r="B77" i="31"/>
  <c r="D72" i="31"/>
  <c r="C72" i="31"/>
  <c r="B72" i="31"/>
  <c r="D71" i="31"/>
  <c r="C71" i="31"/>
  <c r="B71" i="31"/>
  <c r="D70" i="31"/>
  <c r="C70" i="31"/>
  <c r="B70" i="31"/>
  <c r="D69" i="31"/>
  <c r="C69" i="31"/>
  <c r="B69" i="31"/>
  <c r="D68" i="31"/>
  <c r="C68" i="31"/>
  <c r="B68" i="31"/>
  <c r="D67" i="31"/>
  <c r="C67" i="31"/>
  <c r="B67" i="31"/>
  <c r="D66" i="31"/>
  <c r="C66" i="31"/>
  <c r="B66" i="31"/>
  <c r="D65" i="31"/>
  <c r="C65" i="31"/>
  <c r="B65" i="31"/>
  <c r="D64" i="31"/>
  <c r="C64" i="31"/>
  <c r="B64" i="31"/>
  <c r="D63" i="31"/>
  <c r="C63" i="31"/>
  <c r="B63" i="31"/>
  <c r="D58" i="31"/>
  <c r="C58" i="31"/>
  <c r="B58" i="31"/>
  <c r="D57" i="31"/>
  <c r="C57" i="31"/>
  <c r="B57" i="31"/>
  <c r="D56" i="31"/>
  <c r="C56" i="31"/>
  <c r="B56" i="31"/>
  <c r="D55" i="31"/>
  <c r="C55" i="31"/>
  <c r="B55" i="31"/>
  <c r="D54" i="31"/>
  <c r="C54" i="31"/>
  <c r="B54" i="31"/>
  <c r="D53" i="31"/>
  <c r="C53" i="31"/>
  <c r="B53" i="31"/>
  <c r="D52" i="31"/>
  <c r="C52" i="31"/>
  <c r="B52" i="31"/>
  <c r="D51" i="31"/>
  <c r="C51" i="31"/>
  <c r="B51" i="31"/>
  <c r="D50" i="31"/>
  <c r="C50" i="31"/>
  <c r="B50" i="31"/>
  <c r="D49" i="31"/>
  <c r="C49" i="31"/>
  <c r="B49" i="31"/>
  <c r="B36" i="31"/>
  <c r="C36" i="31"/>
  <c r="D36" i="31"/>
  <c r="B37" i="31"/>
  <c r="C37" i="31"/>
  <c r="D37" i="31"/>
  <c r="B38" i="31"/>
  <c r="C38" i="31"/>
  <c r="D38" i="31"/>
  <c r="B39" i="31"/>
  <c r="C39" i="31"/>
  <c r="D39" i="31"/>
  <c r="B40" i="31"/>
  <c r="C40" i="31"/>
  <c r="D40" i="31"/>
  <c r="B41" i="31"/>
  <c r="C41" i="31"/>
  <c r="D41" i="31"/>
  <c r="B42" i="31"/>
  <c r="C42" i="31"/>
  <c r="D42" i="31"/>
  <c r="B43" i="31"/>
  <c r="C43" i="31"/>
  <c r="D43" i="31"/>
  <c r="B44" i="31"/>
  <c r="C44" i="31"/>
  <c r="D44" i="31"/>
  <c r="C35" i="31"/>
  <c r="D35" i="31"/>
  <c r="B35" i="31"/>
  <c r="D100" i="30"/>
  <c r="C100" i="30"/>
  <c r="B100" i="30"/>
  <c r="D99" i="30"/>
  <c r="C99" i="30"/>
  <c r="B99" i="30"/>
  <c r="D98" i="30"/>
  <c r="C98" i="30"/>
  <c r="B98" i="30"/>
  <c r="D97" i="30"/>
  <c r="C97" i="30"/>
  <c r="B97" i="30"/>
  <c r="D96" i="30"/>
  <c r="C96" i="30"/>
  <c r="B96" i="30"/>
  <c r="D95" i="30"/>
  <c r="C95" i="30"/>
  <c r="B95" i="30"/>
  <c r="D94" i="30"/>
  <c r="C94" i="30"/>
  <c r="B94" i="30"/>
  <c r="D93" i="30"/>
  <c r="C93" i="30"/>
  <c r="B93" i="30"/>
  <c r="D92" i="30"/>
  <c r="C92" i="30"/>
  <c r="B92" i="30"/>
  <c r="D91" i="30"/>
  <c r="C91" i="30"/>
  <c r="B91" i="30"/>
  <c r="D86" i="30"/>
  <c r="C86" i="30"/>
  <c r="B86" i="30"/>
  <c r="D85" i="30"/>
  <c r="C85" i="30"/>
  <c r="B85" i="30"/>
  <c r="D84" i="30"/>
  <c r="C84" i="30"/>
  <c r="B84" i="30"/>
  <c r="D83" i="30"/>
  <c r="C83" i="30"/>
  <c r="B83" i="30"/>
  <c r="D82" i="30"/>
  <c r="C82" i="30"/>
  <c r="B82" i="30"/>
  <c r="D81" i="30"/>
  <c r="C81" i="30"/>
  <c r="B81" i="30"/>
  <c r="D80" i="30"/>
  <c r="C80" i="30"/>
  <c r="B80" i="30"/>
  <c r="D79" i="30"/>
  <c r="C79" i="30"/>
  <c r="B79" i="30"/>
  <c r="D78" i="30"/>
  <c r="C78" i="30"/>
  <c r="B78" i="30"/>
  <c r="D77" i="30"/>
  <c r="C77" i="30"/>
  <c r="B77" i="30"/>
  <c r="D72" i="30"/>
  <c r="C72" i="30"/>
  <c r="B72" i="30"/>
  <c r="D71" i="30"/>
  <c r="C71" i="30"/>
  <c r="B71" i="30"/>
  <c r="D70" i="30"/>
  <c r="C70" i="30"/>
  <c r="B70" i="30"/>
  <c r="D69" i="30"/>
  <c r="C69" i="30"/>
  <c r="B69" i="30"/>
  <c r="D68" i="30"/>
  <c r="C68" i="30"/>
  <c r="B68" i="30"/>
  <c r="D67" i="30"/>
  <c r="C67" i="30"/>
  <c r="B67" i="30"/>
  <c r="D66" i="30"/>
  <c r="C66" i="30"/>
  <c r="B66" i="30"/>
  <c r="D65" i="30"/>
  <c r="C65" i="30"/>
  <c r="B65" i="30"/>
  <c r="D64" i="30"/>
  <c r="C64" i="30"/>
  <c r="B64" i="30"/>
  <c r="D63" i="30"/>
  <c r="C63" i="30"/>
  <c r="B63" i="30"/>
  <c r="D58" i="30"/>
  <c r="C58" i="30"/>
  <c r="B58" i="30"/>
  <c r="D57" i="30"/>
  <c r="C57" i="30"/>
  <c r="B57" i="30"/>
  <c r="D56" i="30"/>
  <c r="C56" i="30"/>
  <c r="B56" i="30"/>
  <c r="D55" i="30"/>
  <c r="C55" i="30"/>
  <c r="B55" i="30"/>
  <c r="D54" i="30"/>
  <c r="C54" i="30"/>
  <c r="B54" i="30"/>
  <c r="D53" i="30"/>
  <c r="C53" i="30"/>
  <c r="B53" i="30"/>
  <c r="D52" i="30"/>
  <c r="C52" i="30"/>
  <c r="B52" i="30"/>
  <c r="D51" i="30"/>
  <c r="C51" i="30"/>
  <c r="B51" i="30"/>
  <c r="D50" i="30"/>
  <c r="C50" i="30"/>
  <c r="B50" i="30"/>
  <c r="D49" i="30"/>
  <c r="C49" i="30"/>
  <c r="B49" i="30"/>
  <c r="B36" i="30"/>
  <c r="C36" i="30"/>
  <c r="D36" i="30"/>
  <c r="B37" i="30"/>
  <c r="C37" i="30"/>
  <c r="D37" i="30"/>
  <c r="B38" i="30"/>
  <c r="C38" i="30"/>
  <c r="D38" i="30"/>
  <c r="B39" i="30"/>
  <c r="C39" i="30"/>
  <c r="D39" i="30"/>
  <c r="B40" i="30"/>
  <c r="C40" i="30"/>
  <c r="D40" i="30"/>
  <c r="B41" i="30"/>
  <c r="C41" i="30"/>
  <c r="D41" i="30"/>
  <c r="B42" i="30"/>
  <c r="C42" i="30"/>
  <c r="D42" i="30"/>
  <c r="B43" i="30"/>
  <c r="C43" i="30"/>
  <c r="D43" i="30"/>
  <c r="B44" i="30"/>
  <c r="C44" i="30"/>
  <c r="D44" i="30"/>
  <c r="C35" i="30"/>
  <c r="D35" i="30"/>
  <c r="B35" i="30"/>
  <c r="D100" i="28"/>
  <c r="C100" i="28"/>
  <c r="B100" i="28"/>
  <c r="D99" i="28"/>
  <c r="C99" i="28"/>
  <c r="B99" i="28"/>
  <c r="D98" i="28"/>
  <c r="C98" i="28"/>
  <c r="B98" i="28"/>
  <c r="D97" i="28"/>
  <c r="C97" i="28"/>
  <c r="B97" i="28"/>
  <c r="D96" i="28"/>
  <c r="C96" i="28"/>
  <c r="B96" i="28"/>
  <c r="D95" i="28"/>
  <c r="C95" i="28"/>
  <c r="B95" i="28"/>
  <c r="D94" i="28"/>
  <c r="C94" i="28"/>
  <c r="B94" i="28"/>
  <c r="D93" i="28"/>
  <c r="C93" i="28"/>
  <c r="B93" i="28"/>
  <c r="D92" i="28"/>
  <c r="C92" i="28"/>
  <c r="B92" i="28"/>
  <c r="D91" i="28"/>
  <c r="C91" i="28"/>
  <c r="B91" i="28"/>
  <c r="D86" i="28"/>
  <c r="C86" i="28"/>
  <c r="B86" i="28"/>
  <c r="D85" i="28"/>
  <c r="C85" i="28"/>
  <c r="B85" i="28"/>
  <c r="D84" i="28"/>
  <c r="C84" i="28"/>
  <c r="B84" i="28"/>
  <c r="D83" i="28"/>
  <c r="C83" i="28"/>
  <c r="B83" i="28"/>
  <c r="D82" i="28"/>
  <c r="C82" i="28"/>
  <c r="B82" i="28"/>
  <c r="D81" i="28"/>
  <c r="C81" i="28"/>
  <c r="B81" i="28"/>
  <c r="D80" i="28"/>
  <c r="C80" i="28"/>
  <c r="B80" i="28"/>
  <c r="D79" i="28"/>
  <c r="C79" i="28"/>
  <c r="B79" i="28"/>
  <c r="D78" i="28"/>
  <c r="C78" i="28"/>
  <c r="B78" i="28"/>
  <c r="D77" i="28"/>
  <c r="C77" i="28"/>
  <c r="B77" i="28"/>
  <c r="D72" i="28"/>
  <c r="C72" i="28"/>
  <c r="B72" i="28"/>
  <c r="D71" i="28"/>
  <c r="C71" i="28"/>
  <c r="B71" i="28"/>
  <c r="D70" i="28"/>
  <c r="C70" i="28"/>
  <c r="B70" i="28"/>
  <c r="D69" i="28"/>
  <c r="C69" i="28"/>
  <c r="B69" i="28"/>
  <c r="D68" i="28"/>
  <c r="C68" i="28"/>
  <c r="B68" i="28"/>
  <c r="D67" i="28"/>
  <c r="C67" i="28"/>
  <c r="B67" i="28"/>
  <c r="D66" i="28"/>
  <c r="C66" i="28"/>
  <c r="B66" i="28"/>
  <c r="D65" i="28"/>
  <c r="C65" i="28"/>
  <c r="B65" i="28"/>
  <c r="D64" i="28"/>
  <c r="C64" i="28"/>
  <c r="B64" i="28"/>
  <c r="D63" i="28"/>
  <c r="C63" i="28"/>
  <c r="B63" i="28"/>
  <c r="D58" i="28"/>
  <c r="C58" i="28"/>
  <c r="B58" i="28"/>
  <c r="D57" i="28"/>
  <c r="C57" i="28"/>
  <c r="B57" i="28"/>
  <c r="D56" i="28"/>
  <c r="C56" i="28"/>
  <c r="B56" i="28"/>
  <c r="D55" i="28"/>
  <c r="C55" i="28"/>
  <c r="B55" i="28"/>
  <c r="D54" i="28"/>
  <c r="C54" i="28"/>
  <c r="B54" i="28"/>
  <c r="D53" i="28"/>
  <c r="C53" i="28"/>
  <c r="B53" i="28"/>
  <c r="D52" i="28"/>
  <c r="C52" i="28"/>
  <c r="B52" i="28"/>
  <c r="D51" i="28"/>
  <c r="C51" i="28"/>
  <c r="B51" i="28"/>
  <c r="D50" i="28"/>
  <c r="C50" i="28"/>
  <c r="B50" i="28"/>
  <c r="D49" i="28"/>
  <c r="C49" i="28"/>
  <c r="B49" i="28"/>
  <c r="B36" i="28"/>
  <c r="C36" i="28"/>
  <c r="D36" i="28"/>
  <c r="B37" i="28"/>
  <c r="C37" i="28"/>
  <c r="D37" i="28"/>
  <c r="B38" i="28"/>
  <c r="C38" i="28"/>
  <c r="D38" i="28"/>
  <c r="B39" i="28"/>
  <c r="C39" i="28"/>
  <c r="D39" i="28"/>
  <c r="B40" i="28"/>
  <c r="C40" i="28"/>
  <c r="D40" i="28"/>
  <c r="B41" i="28"/>
  <c r="C41" i="28"/>
  <c r="D41" i="28"/>
  <c r="B42" i="28"/>
  <c r="C42" i="28"/>
  <c r="D42" i="28"/>
  <c r="B43" i="28"/>
  <c r="C43" i="28"/>
  <c r="D43" i="28"/>
  <c r="B44" i="28"/>
  <c r="C44" i="28"/>
  <c r="D44" i="28"/>
  <c r="C35" i="28"/>
  <c r="D35" i="28"/>
  <c r="B35" i="28"/>
  <c r="D97" i="35"/>
  <c r="C97" i="35"/>
  <c r="B97" i="35"/>
  <c r="D96" i="35"/>
  <c r="C96" i="35"/>
  <c r="B96" i="35"/>
  <c r="D95" i="35"/>
  <c r="E95" i="35" s="1"/>
  <c r="C95" i="35"/>
  <c r="B95" i="35"/>
  <c r="D94" i="35"/>
  <c r="C94" i="35"/>
  <c r="B94" i="35"/>
  <c r="D93" i="35"/>
  <c r="C93" i="35"/>
  <c r="B93" i="35"/>
  <c r="D92" i="35"/>
  <c r="C92" i="35"/>
  <c r="B92" i="35"/>
  <c r="D91" i="35"/>
  <c r="E91" i="35" s="1"/>
  <c r="C91" i="35"/>
  <c r="B91" i="35"/>
  <c r="D90" i="35"/>
  <c r="C90" i="35"/>
  <c r="B90" i="35"/>
  <c r="D89" i="35"/>
  <c r="C89" i="35"/>
  <c r="C18" i="35" s="1"/>
  <c r="B89" i="35"/>
  <c r="C88" i="35"/>
  <c r="B88" i="35"/>
  <c r="D83" i="35"/>
  <c r="C83" i="35"/>
  <c r="B83" i="35"/>
  <c r="D82" i="35"/>
  <c r="C82" i="35"/>
  <c r="B82" i="35"/>
  <c r="D81" i="35"/>
  <c r="C81" i="35"/>
  <c r="B81" i="35"/>
  <c r="D80" i="35"/>
  <c r="C80" i="35"/>
  <c r="B80" i="35"/>
  <c r="D79" i="35"/>
  <c r="C79" i="35"/>
  <c r="B79" i="35"/>
  <c r="D78" i="35"/>
  <c r="C78" i="35"/>
  <c r="B78" i="35"/>
  <c r="D77" i="35"/>
  <c r="C77" i="35"/>
  <c r="B77" i="35"/>
  <c r="D76" i="35"/>
  <c r="C76" i="35"/>
  <c r="B76" i="35"/>
  <c r="D75" i="35"/>
  <c r="C75" i="35"/>
  <c r="B75" i="35"/>
  <c r="D74" i="35"/>
  <c r="E74" i="35" s="1"/>
  <c r="C74" i="35"/>
  <c r="B74" i="35"/>
  <c r="D69" i="35"/>
  <c r="C69" i="35"/>
  <c r="B69" i="35"/>
  <c r="D68" i="35"/>
  <c r="C68" i="35"/>
  <c r="B68" i="35"/>
  <c r="D67" i="35"/>
  <c r="C67" i="35"/>
  <c r="B67" i="35"/>
  <c r="D66" i="35"/>
  <c r="C66" i="35"/>
  <c r="B66" i="35"/>
  <c r="D65" i="35"/>
  <c r="C65" i="35"/>
  <c r="B65" i="35"/>
  <c r="D64" i="35"/>
  <c r="C64" i="35"/>
  <c r="B64" i="35"/>
  <c r="D63" i="35"/>
  <c r="C63" i="35"/>
  <c r="B63" i="35"/>
  <c r="D62" i="35"/>
  <c r="C62" i="35"/>
  <c r="B62" i="35"/>
  <c r="D61" i="35"/>
  <c r="C61" i="35"/>
  <c r="B61" i="35"/>
  <c r="D60" i="35"/>
  <c r="E60" i="35" s="1"/>
  <c r="C60" i="35"/>
  <c r="B60" i="35"/>
  <c r="D55" i="35"/>
  <c r="C55" i="35"/>
  <c r="B55" i="35"/>
  <c r="D54" i="35"/>
  <c r="C54" i="35"/>
  <c r="B54" i="35"/>
  <c r="D53" i="35"/>
  <c r="C53" i="35"/>
  <c r="B53" i="35"/>
  <c r="D52" i="35"/>
  <c r="C52" i="35"/>
  <c r="B52" i="35"/>
  <c r="D51" i="35"/>
  <c r="C51" i="35"/>
  <c r="B51" i="35"/>
  <c r="D50" i="35"/>
  <c r="C50" i="35"/>
  <c r="B50" i="35"/>
  <c r="D49" i="35"/>
  <c r="E49" i="35" s="1"/>
  <c r="C49" i="35"/>
  <c r="B49" i="35"/>
  <c r="D48" i="35"/>
  <c r="C48" i="35"/>
  <c r="B48" i="35"/>
  <c r="D47" i="35"/>
  <c r="C47" i="35"/>
  <c r="B47" i="35"/>
  <c r="D46" i="35"/>
  <c r="E46" i="35" s="1"/>
  <c r="C46" i="35"/>
  <c r="B46" i="35"/>
  <c r="B33" i="35"/>
  <c r="C33" i="35"/>
  <c r="D33" i="35"/>
  <c r="B34" i="35"/>
  <c r="C34" i="35"/>
  <c r="D34" i="35"/>
  <c r="B35" i="35"/>
  <c r="C35" i="35"/>
  <c r="D35" i="35"/>
  <c r="B36" i="35"/>
  <c r="C36" i="35"/>
  <c r="D36" i="35"/>
  <c r="B37" i="35"/>
  <c r="C37" i="35"/>
  <c r="D37" i="35"/>
  <c r="B38" i="35"/>
  <c r="C38" i="35"/>
  <c r="D38" i="35"/>
  <c r="B39" i="35"/>
  <c r="C39" i="35"/>
  <c r="D39" i="35"/>
  <c r="B40" i="35"/>
  <c r="C40" i="35"/>
  <c r="D40" i="35"/>
  <c r="B41" i="35"/>
  <c r="C41" i="35"/>
  <c r="D41" i="35"/>
  <c r="C32" i="35"/>
  <c r="D32" i="35"/>
  <c r="B32" i="35"/>
  <c r="E97" i="35"/>
  <c r="E96" i="35"/>
  <c r="E94" i="35"/>
  <c r="E93" i="35"/>
  <c r="E92" i="35"/>
  <c r="E90" i="35"/>
  <c r="E89" i="35"/>
  <c r="E88" i="35"/>
  <c r="E83" i="35"/>
  <c r="E82" i="35"/>
  <c r="E81" i="35"/>
  <c r="E80" i="35"/>
  <c r="E79" i="35"/>
  <c r="E78" i="35"/>
  <c r="E77" i="35"/>
  <c r="E76" i="35"/>
  <c r="E75" i="35"/>
  <c r="E69" i="35"/>
  <c r="E68" i="35"/>
  <c r="E67" i="35"/>
  <c r="E66" i="35"/>
  <c r="E65" i="35"/>
  <c r="E64" i="35"/>
  <c r="E63" i="35"/>
  <c r="E62" i="35"/>
  <c r="E61" i="35"/>
  <c r="E55" i="35"/>
  <c r="E54" i="35"/>
  <c r="E52" i="35"/>
  <c r="E51" i="35"/>
  <c r="E50" i="35"/>
  <c r="E48" i="35"/>
  <c r="E47" i="35"/>
  <c r="E41" i="35"/>
  <c r="E40" i="35"/>
  <c r="E39" i="35"/>
  <c r="E38" i="35"/>
  <c r="E37" i="35"/>
  <c r="E36" i="35"/>
  <c r="E35" i="35"/>
  <c r="E34" i="35"/>
  <c r="E33" i="35"/>
  <c r="D26" i="35"/>
  <c r="E26" i="35" s="1"/>
  <c r="C26" i="35"/>
  <c r="D25" i="35"/>
  <c r="E25" i="35" s="1"/>
  <c r="C25" i="35"/>
  <c r="B25" i="35"/>
  <c r="C24" i="35"/>
  <c r="B24" i="35"/>
  <c r="D23" i="35"/>
  <c r="E23" i="35" s="1"/>
  <c r="B23" i="35"/>
  <c r="D22" i="35"/>
  <c r="E22" i="35" s="1"/>
  <c r="D21" i="35"/>
  <c r="E21" i="35" s="1"/>
  <c r="C21" i="35"/>
  <c r="B21" i="35"/>
  <c r="C20" i="35"/>
  <c r="B20" i="35"/>
  <c r="D19" i="35"/>
  <c r="E19" i="35" s="1"/>
  <c r="B19" i="35"/>
  <c r="D18" i="35"/>
  <c r="E18" i="35" s="1"/>
  <c r="E97" i="34"/>
  <c r="E96" i="34"/>
  <c r="E95" i="34"/>
  <c r="E94" i="34"/>
  <c r="E93" i="34"/>
  <c r="E92" i="34"/>
  <c r="E91" i="34"/>
  <c r="E90" i="34"/>
  <c r="E89" i="34"/>
  <c r="E88" i="34"/>
  <c r="E83" i="34"/>
  <c r="E82" i="34"/>
  <c r="E81" i="34"/>
  <c r="E80" i="34"/>
  <c r="E79" i="34"/>
  <c r="E78" i="34"/>
  <c r="E77" i="34"/>
  <c r="E76" i="34"/>
  <c r="E75" i="34"/>
  <c r="E74" i="34"/>
  <c r="E69" i="34"/>
  <c r="E68" i="34"/>
  <c r="E67" i="34"/>
  <c r="E66" i="34"/>
  <c r="E65" i="34"/>
  <c r="E64" i="34"/>
  <c r="E63" i="34"/>
  <c r="E62" i="34"/>
  <c r="E61" i="34"/>
  <c r="E60" i="34"/>
  <c r="E55" i="34"/>
  <c r="E54" i="34"/>
  <c r="E53" i="34"/>
  <c r="E52" i="34"/>
  <c r="E51" i="34"/>
  <c r="E50" i="34"/>
  <c r="E49" i="34"/>
  <c r="E48" i="34"/>
  <c r="E47" i="34"/>
  <c r="E46" i="34"/>
  <c r="E41" i="34"/>
  <c r="E40" i="34"/>
  <c r="E39" i="34"/>
  <c r="E38" i="34"/>
  <c r="E37" i="34"/>
  <c r="E36" i="34"/>
  <c r="E35" i="34"/>
  <c r="E34" i="34"/>
  <c r="E33" i="34"/>
  <c r="E32" i="34"/>
  <c r="E26" i="34"/>
  <c r="D26" i="34"/>
  <c r="C26" i="34"/>
  <c r="B26" i="34"/>
  <c r="E25" i="34"/>
  <c r="D25" i="34"/>
  <c r="C25" i="34"/>
  <c r="B25" i="34"/>
  <c r="E24" i="34"/>
  <c r="D24" i="34"/>
  <c r="C24" i="34"/>
  <c r="B24" i="34"/>
  <c r="E23" i="34"/>
  <c r="D23" i="34"/>
  <c r="C23" i="34"/>
  <c r="B23" i="34"/>
  <c r="E22" i="34"/>
  <c r="D22" i="34"/>
  <c r="C22" i="34"/>
  <c r="B22" i="34"/>
  <c r="E21" i="34"/>
  <c r="D21" i="34"/>
  <c r="C21" i="34"/>
  <c r="B21" i="34"/>
  <c r="E20" i="34"/>
  <c r="D20" i="34"/>
  <c r="C20" i="34"/>
  <c r="B20" i="34"/>
  <c r="E19" i="34"/>
  <c r="D19" i="34"/>
  <c r="C19" i="34"/>
  <c r="B19" i="34"/>
  <c r="E18" i="34"/>
  <c r="D18" i="34"/>
  <c r="C18" i="34"/>
  <c r="B18" i="34"/>
  <c r="D17" i="34"/>
  <c r="E17" i="34" s="1"/>
  <c r="C17" i="34"/>
  <c r="B17" i="34"/>
  <c r="D18" i="33"/>
  <c r="D19" i="33"/>
  <c r="D20" i="33"/>
  <c r="D21" i="33"/>
  <c r="D22" i="33"/>
  <c r="D23" i="33"/>
  <c r="D24" i="33"/>
  <c r="D25" i="33"/>
  <c r="D26" i="33"/>
  <c r="D17" i="33"/>
  <c r="C18" i="33"/>
  <c r="C19" i="33"/>
  <c r="C20" i="33"/>
  <c r="C21" i="33"/>
  <c r="C22" i="33"/>
  <c r="C23" i="33"/>
  <c r="C24" i="33"/>
  <c r="C25" i="33"/>
  <c r="C26" i="33"/>
  <c r="C17" i="33"/>
  <c r="B18" i="33"/>
  <c r="B19" i="33"/>
  <c r="B20" i="33"/>
  <c r="B21" i="33"/>
  <c r="B22" i="33"/>
  <c r="B23" i="33"/>
  <c r="B24" i="33"/>
  <c r="B25" i="33"/>
  <c r="B26" i="33"/>
  <c r="B17" i="33"/>
  <c r="E101" i="40" l="1"/>
  <c r="D45" i="40"/>
  <c r="C45" i="40"/>
  <c r="B45" i="40"/>
  <c r="F45" i="40"/>
  <c r="E86" i="40"/>
  <c r="B44" i="40"/>
  <c r="C44" i="40"/>
  <c r="D44" i="40"/>
  <c r="F44" i="40"/>
  <c r="E99" i="40"/>
  <c r="B43" i="40"/>
  <c r="D43" i="40"/>
  <c r="F43" i="40" s="1"/>
  <c r="C43" i="40"/>
  <c r="B42" i="40"/>
  <c r="C42" i="40"/>
  <c r="D42" i="40"/>
  <c r="F42" i="40"/>
  <c r="F21" i="40"/>
  <c r="F22" i="40"/>
  <c r="E24" i="42"/>
  <c r="I24" i="42" s="1"/>
  <c r="D114" i="42"/>
  <c r="C114" i="42"/>
  <c r="E20" i="42"/>
  <c r="I20" i="42" s="1"/>
  <c r="C110" i="42"/>
  <c r="D110" i="42"/>
  <c r="B36" i="36"/>
  <c r="C36" i="36"/>
  <c r="D36" i="36"/>
  <c r="F26" i="49"/>
  <c r="F23" i="49"/>
  <c r="F18" i="49"/>
  <c r="F22" i="49"/>
  <c r="C117" i="49"/>
  <c r="C118" i="49" s="1"/>
  <c r="F46" i="22" s="1"/>
  <c r="F19" i="49"/>
  <c r="H31" i="49"/>
  <c r="B30" i="22"/>
  <c r="E84" i="40"/>
  <c r="E97" i="40"/>
  <c r="E82" i="40"/>
  <c r="E95" i="40"/>
  <c r="E80" i="40"/>
  <c r="E93" i="40"/>
  <c r="B36" i="43"/>
  <c r="B17" i="43" s="1"/>
  <c r="C36" i="43"/>
  <c r="C17" i="43" s="1"/>
  <c r="D36" i="43"/>
  <c r="D17" i="43" s="1"/>
  <c r="C117" i="41"/>
  <c r="E95" i="37"/>
  <c r="B39" i="37"/>
  <c r="C39" i="37"/>
  <c r="D39" i="37"/>
  <c r="E80" i="37"/>
  <c r="B38" i="37"/>
  <c r="C38" i="37"/>
  <c r="D38" i="37"/>
  <c r="B17" i="37"/>
  <c r="E97" i="37"/>
  <c r="D41" i="38"/>
  <c r="C41" i="38"/>
  <c r="C22" i="38" s="1"/>
  <c r="B41" i="38"/>
  <c r="C117" i="38"/>
  <c r="D117" i="38"/>
  <c r="E93" i="36"/>
  <c r="D37" i="36"/>
  <c r="D18" i="36" s="1"/>
  <c r="B37" i="36"/>
  <c r="C37" i="36"/>
  <c r="E80" i="36"/>
  <c r="B38" i="36"/>
  <c r="B19" i="36" s="1"/>
  <c r="C38" i="36"/>
  <c r="C19" i="36" s="1"/>
  <c r="D38" i="36"/>
  <c r="D39" i="36"/>
  <c r="C39" i="36"/>
  <c r="B39" i="36"/>
  <c r="B20" i="36" s="1"/>
  <c r="D40" i="36"/>
  <c r="D21" i="36" s="1"/>
  <c r="C40" i="36"/>
  <c r="C21" i="36" s="1"/>
  <c r="B40" i="36"/>
  <c r="D41" i="36"/>
  <c r="B41" i="36"/>
  <c r="C41" i="36"/>
  <c r="D117" i="36"/>
  <c r="E95" i="38"/>
  <c r="E82" i="38"/>
  <c r="E97" i="38"/>
  <c r="E31" i="49"/>
  <c r="E15" i="22" s="1"/>
  <c r="D31" i="49"/>
  <c r="D15" i="22" s="1"/>
  <c r="C31" i="49"/>
  <c r="C15" i="22" s="1"/>
  <c r="E32" i="35"/>
  <c r="D17" i="35"/>
  <c r="E17" i="35" s="1"/>
  <c r="F31" i="49"/>
  <c r="F15" i="22" s="1"/>
  <c r="E84" i="36"/>
  <c r="E95" i="36"/>
  <c r="E82" i="36"/>
  <c r="E97" i="36"/>
  <c r="J27" i="49"/>
  <c r="H23" i="49"/>
  <c r="H24" i="49"/>
  <c r="H20" i="49"/>
  <c r="H26" i="49"/>
  <c r="H25" i="49"/>
  <c r="H21" i="49"/>
  <c r="G17" i="49"/>
  <c r="H17" i="49" s="1"/>
  <c r="H18" i="49"/>
  <c r="C117" i="36"/>
  <c r="D117" i="41"/>
  <c r="D117" i="37"/>
  <c r="C117" i="37"/>
  <c r="E53" i="45"/>
  <c r="E87" i="45"/>
  <c r="E78" i="45"/>
  <c r="E46" i="45"/>
  <c r="E59" i="45"/>
  <c r="E79" i="45"/>
  <c r="E51" i="45"/>
  <c r="E81" i="45"/>
  <c r="E85" i="45"/>
  <c r="E51" i="44"/>
  <c r="E57" i="44"/>
  <c r="E79" i="44"/>
  <c r="E85" i="44"/>
  <c r="E78" i="44"/>
  <c r="E46" i="44"/>
  <c r="E53" i="44"/>
  <c r="E81" i="44"/>
  <c r="E87" i="44"/>
  <c r="E55" i="44"/>
  <c r="E83" i="44"/>
  <c r="E78" i="43"/>
  <c r="E46" i="43"/>
  <c r="F46" i="43" s="1"/>
  <c r="D18" i="43"/>
  <c r="E18" i="43" s="1"/>
  <c r="B22" i="42"/>
  <c r="D22" i="42"/>
  <c r="E78" i="42"/>
  <c r="E46" i="42"/>
  <c r="E51" i="42"/>
  <c r="E57" i="42"/>
  <c r="C26" i="42"/>
  <c r="E78" i="41"/>
  <c r="E46" i="41"/>
  <c r="E59" i="41"/>
  <c r="B21" i="41"/>
  <c r="C22" i="41"/>
  <c r="C26" i="41"/>
  <c r="B17" i="41"/>
  <c r="C23" i="41"/>
  <c r="B25" i="41"/>
  <c r="E51" i="41"/>
  <c r="D23" i="41"/>
  <c r="B18" i="41"/>
  <c r="E57" i="41"/>
  <c r="D22" i="41"/>
  <c r="E78" i="40"/>
  <c r="E46" i="40"/>
  <c r="D21" i="39"/>
  <c r="E78" i="39"/>
  <c r="E46" i="39"/>
  <c r="E51" i="39"/>
  <c r="E57" i="39"/>
  <c r="E53" i="39"/>
  <c r="E59" i="39"/>
  <c r="D20" i="38"/>
  <c r="E20" i="38" s="1"/>
  <c r="E78" i="38"/>
  <c r="E46" i="38"/>
  <c r="B22" i="38"/>
  <c r="E78" i="37"/>
  <c r="E46" i="37"/>
  <c r="F46" i="37" s="1"/>
  <c r="B23" i="37"/>
  <c r="E50" i="37"/>
  <c r="E58" i="37"/>
  <c r="D18" i="37"/>
  <c r="E18" i="37" s="1"/>
  <c r="D24" i="37"/>
  <c r="B26" i="37"/>
  <c r="D25" i="37"/>
  <c r="E59" i="36"/>
  <c r="E87" i="36"/>
  <c r="C23" i="36"/>
  <c r="E57" i="36"/>
  <c r="E85" i="36"/>
  <c r="E78" i="36"/>
  <c r="E46" i="36"/>
  <c r="F46" i="36" s="1"/>
  <c r="D20" i="36"/>
  <c r="E53" i="36"/>
  <c r="E81" i="36"/>
  <c r="B23" i="45"/>
  <c r="C23" i="45"/>
  <c r="E55" i="45"/>
  <c r="E83" i="45"/>
  <c r="D21" i="45"/>
  <c r="C26" i="45"/>
  <c r="B17" i="45"/>
  <c r="C21" i="45"/>
  <c r="C17" i="45"/>
  <c r="C19" i="45"/>
  <c r="C22" i="45"/>
  <c r="C18" i="45"/>
  <c r="B26" i="45"/>
  <c r="C20" i="45"/>
  <c r="B21" i="45"/>
  <c r="B22" i="45"/>
  <c r="D20" i="45"/>
  <c r="E20" i="45" s="1"/>
  <c r="D18" i="45"/>
  <c r="E18" i="45" s="1"/>
  <c r="D24" i="45"/>
  <c r="B18" i="45"/>
  <c r="B24" i="45"/>
  <c r="D26" i="45"/>
  <c r="B19" i="45"/>
  <c r="D22" i="45"/>
  <c r="D19" i="45"/>
  <c r="E19" i="45" s="1"/>
  <c r="C25" i="45"/>
  <c r="D17" i="45"/>
  <c r="E17" i="45" s="1"/>
  <c r="B20" i="45"/>
  <c r="D25" i="45"/>
  <c r="B12" i="45"/>
  <c r="E64" i="45"/>
  <c r="E66" i="45"/>
  <c r="E68" i="45"/>
  <c r="E70" i="45"/>
  <c r="E72" i="45"/>
  <c r="E92" i="45"/>
  <c r="E94" i="45"/>
  <c r="E96" i="45"/>
  <c r="E98" i="45"/>
  <c r="E100" i="45"/>
  <c r="E50" i="45"/>
  <c r="E52" i="45"/>
  <c r="E54" i="45"/>
  <c r="E56" i="45"/>
  <c r="E58" i="45"/>
  <c r="E65" i="45"/>
  <c r="E67" i="45"/>
  <c r="E69" i="45"/>
  <c r="E71" i="45"/>
  <c r="E73" i="45"/>
  <c r="D21" i="44"/>
  <c r="E21" i="44" s="1"/>
  <c r="C18" i="44"/>
  <c r="C24" i="44"/>
  <c r="C21" i="44"/>
  <c r="C22" i="44"/>
  <c r="C25" i="44"/>
  <c r="B21" i="44"/>
  <c r="C20" i="44"/>
  <c r="C19" i="44"/>
  <c r="D19" i="44"/>
  <c r="E19" i="44" s="1"/>
  <c r="B22" i="44"/>
  <c r="D24" i="44"/>
  <c r="B26" i="44"/>
  <c r="D17" i="44"/>
  <c r="E17" i="44" s="1"/>
  <c r="D23" i="44"/>
  <c r="B25" i="44"/>
  <c r="B17" i="44"/>
  <c r="D25" i="44"/>
  <c r="C17" i="44"/>
  <c r="B19" i="44"/>
  <c r="D22" i="44"/>
  <c r="E22" i="44" s="1"/>
  <c r="D26" i="44"/>
  <c r="B24" i="44"/>
  <c r="B18" i="44"/>
  <c r="D20" i="44"/>
  <c r="E20" i="44" s="1"/>
  <c r="D18" i="44"/>
  <c r="E18" i="44" s="1"/>
  <c r="B20" i="44"/>
  <c r="B23" i="44"/>
  <c r="B12" i="44"/>
  <c r="E64" i="44"/>
  <c r="E66" i="44"/>
  <c r="E68" i="44"/>
  <c r="E70" i="44"/>
  <c r="E72" i="44"/>
  <c r="E92" i="44"/>
  <c r="E94" i="44"/>
  <c r="E96" i="44"/>
  <c r="E98" i="44"/>
  <c r="E100" i="44"/>
  <c r="E50" i="44"/>
  <c r="E52" i="44"/>
  <c r="E54" i="44"/>
  <c r="E56" i="44"/>
  <c r="E58" i="44"/>
  <c r="E65" i="44"/>
  <c r="E67" i="44"/>
  <c r="E69" i="44"/>
  <c r="E71" i="44"/>
  <c r="E73" i="44"/>
  <c r="D26" i="43"/>
  <c r="D22" i="43"/>
  <c r="E22" i="43" s="1"/>
  <c r="D23" i="43"/>
  <c r="C22" i="43"/>
  <c r="B21" i="43"/>
  <c r="D19" i="43"/>
  <c r="E19" i="43" s="1"/>
  <c r="C18" i="43"/>
  <c r="D20" i="43"/>
  <c r="E20" i="43" s="1"/>
  <c r="B26" i="43"/>
  <c r="D25" i="43"/>
  <c r="C25" i="43"/>
  <c r="C26" i="43"/>
  <c r="B23" i="43"/>
  <c r="B24" i="43"/>
  <c r="B25" i="43"/>
  <c r="D24" i="43"/>
  <c r="B12" i="43"/>
  <c r="E51" i="43"/>
  <c r="E53" i="43"/>
  <c r="E55" i="43"/>
  <c r="E57" i="43"/>
  <c r="E59" i="43"/>
  <c r="E64" i="43"/>
  <c r="E66" i="43"/>
  <c r="E68" i="43"/>
  <c r="E70" i="43"/>
  <c r="E72" i="43"/>
  <c r="E79" i="43"/>
  <c r="E81" i="43"/>
  <c r="E83" i="43"/>
  <c r="E85" i="43"/>
  <c r="E87" i="43"/>
  <c r="E92" i="43"/>
  <c r="E94" i="43"/>
  <c r="E96" i="43"/>
  <c r="E98" i="43"/>
  <c r="E100" i="43"/>
  <c r="E50" i="43"/>
  <c r="E52" i="43"/>
  <c r="E54" i="43"/>
  <c r="E56" i="43"/>
  <c r="E58" i="43"/>
  <c r="E65" i="43"/>
  <c r="E67" i="43"/>
  <c r="E69" i="43"/>
  <c r="E71" i="43"/>
  <c r="E73" i="43"/>
  <c r="C22" i="42"/>
  <c r="D21" i="42"/>
  <c r="C20" i="42"/>
  <c r="C19" i="42"/>
  <c r="B25" i="42"/>
  <c r="C23" i="42"/>
  <c r="C24" i="42"/>
  <c r="D19" i="42"/>
  <c r="D23" i="42"/>
  <c r="C17" i="42"/>
  <c r="C18" i="42"/>
  <c r="C25" i="42"/>
  <c r="D18" i="42"/>
  <c r="E18" i="42" s="1"/>
  <c r="D26" i="42"/>
  <c r="D17" i="42"/>
  <c r="E17" i="42" s="1"/>
  <c r="B20" i="42"/>
  <c r="B24" i="42"/>
  <c r="D25" i="42"/>
  <c r="B26" i="42"/>
  <c r="D24" i="41"/>
  <c r="C20" i="41"/>
  <c r="D17" i="41"/>
  <c r="E17" i="41" s="1"/>
  <c r="C17" i="41"/>
  <c r="E55" i="42"/>
  <c r="E53" i="42"/>
  <c r="B12" i="42"/>
  <c r="E64" i="42"/>
  <c r="E66" i="42"/>
  <c r="E68" i="42"/>
  <c r="E70" i="42"/>
  <c r="E72" i="42"/>
  <c r="E79" i="42"/>
  <c r="E81" i="42"/>
  <c r="E83" i="42"/>
  <c r="E85" i="42"/>
  <c r="E87" i="42"/>
  <c r="E92" i="42"/>
  <c r="E94" i="42"/>
  <c r="E96" i="42"/>
  <c r="E98" i="42"/>
  <c r="E100" i="42"/>
  <c r="E50" i="42"/>
  <c r="E52" i="42"/>
  <c r="E54" i="42"/>
  <c r="E56" i="42"/>
  <c r="E58" i="42"/>
  <c r="E65" i="42"/>
  <c r="E67" i="42"/>
  <c r="E69" i="42"/>
  <c r="E71" i="42"/>
  <c r="E73" i="42"/>
  <c r="C21" i="41"/>
  <c r="D21" i="41"/>
  <c r="D20" i="41"/>
  <c r="E20" i="41" s="1"/>
  <c r="C19" i="41"/>
  <c r="D18" i="41"/>
  <c r="E18" i="41" s="1"/>
  <c r="E55" i="41"/>
  <c r="E53" i="41"/>
  <c r="B10" i="41"/>
  <c r="B12" i="41"/>
  <c r="E64" i="41"/>
  <c r="E66" i="41"/>
  <c r="E68" i="41"/>
  <c r="E70" i="41"/>
  <c r="E72" i="41"/>
  <c r="E79" i="41"/>
  <c r="E81" i="41"/>
  <c r="E83" i="41"/>
  <c r="E85" i="41"/>
  <c r="E87" i="41"/>
  <c r="E92" i="41"/>
  <c r="E94" i="41"/>
  <c r="E96" i="41"/>
  <c r="E98" i="41"/>
  <c r="E100" i="41"/>
  <c r="E50" i="41"/>
  <c r="E52" i="41"/>
  <c r="E54" i="41"/>
  <c r="E56" i="41"/>
  <c r="E58" i="41"/>
  <c r="E65" i="41"/>
  <c r="E67" i="41"/>
  <c r="E69" i="41"/>
  <c r="E71" i="41"/>
  <c r="E73" i="41"/>
  <c r="B12" i="40"/>
  <c r="B24" i="22" s="1"/>
  <c r="E51" i="40"/>
  <c r="E53" i="40"/>
  <c r="E55" i="40"/>
  <c r="E57" i="40"/>
  <c r="E59" i="40"/>
  <c r="E64" i="40"/>
  <c r="E66" i="40"/>
  <c r="E68" i="40"/>
  <c r="E70" i="40"/>
  <c r="E72" i="40"/>
  <c r="E79" i="40"/>
  <c r="E81" i="40"/>
  <c r="E83" i="40"/>
  <c r="E85" i="40"/>
  <c r="E87" i="40"/>
  <c r="E92" i="40"/>
  <c r="E94" i="40"/>
  <c r="E96" i="40"/>
  <c r="E98" i="40"/>
  <c r="E100" i="40"/>
  <c r="E50" i="40"/>
  <c r="E52" i="40"/>
  <c r="E54" i="40"/>
  <c r="E56" i="40"/>
  <c r="E58" i="40"/>
  <c r="E65" i="40"/>
  <c r="E67" i="40"/>
  <c r="E69" i="40"/>
  <c r="E71" i="40"/>
  <c r="E73" i="40"/>
  <c r="E55" i="39"/>
  <c r="C21" i="39"/>
  <c r="C22" i="39"/>
  <c r="B22" i="39"/>
  <c r="C19" i="39"/>
  <c r="C26" i="39"/>
  <c r="D22" i="39"/>
  <c r="B19" i="39"/>
  <c r="B23" i="39"/>
  <c r="C18" i="39"/>
  <c r="C20" i="39"/>
  <c r="C23" i="39"/>
  <c r="C25" i="39"/>
  <c r="D17" i="39"/>
  <c r="E17" i="39" s="1"/>
  <c r="D25" i="39"/>
  <c r="C17" i="39"/>
  <c r="D23" i="39"/>
  <c r="B20" i="39"/>
  <c r="B24" i="39"/>
  <c r="B21" i="39"/>
  <c r="D20" i="39"/>
  <c r="E20" i="39" s="1"/>
  <c r="C24" i="39"/>
  <c r="D26" i="39"/>
  <c r="D19" i="39"/>
  <c r="E19" i="39" s="1"/>
  <c r="B17" i="39"/>
  <c r="B26" i="39"/>
  <c r="D24" i="39"/>
  <c r="B12" i="39"/>
  <c r="E64" i="39"/>
  <c r="E66" i="39"/>
  <c r="E68" i="39"/>
  <c r="E70" i="39"/>
  <c r="E72" i="39"/>
  <c r="E79" i="39"/>
  <c r="E81" i="39"/>
  <c r="E83" i="39"/>
  <c r="E85" i="39"/>
  <c r="E87" i="39"/>
  <c r="E92" i="39"/>
  <c r="E94" i="39"/>
  <c r="E96" i="39"/>
  <c r="E98" i="39"/>
  <c r="E100" i="39"/>
  <c r="E50" i="39"/>
  <c r="E52" i="39"/>
  <c r="E54" i="39"/>
  <c r="E56" i="39"/>
  <c r="E58" i="39"/>
  <c r="E65" i="39"/>
  <c r="E67" i="39"/>
  <c r="E69" i="39"/>
  <c r="E71" i="39"/>
  <c r="E73" i="39"/>
  <c r="D19" i="38"/>
  <c r="E19" i="38" s="1"/>
  <c r="D17" i="38"/>
  <c r="E17" i="38" s="1"/>
  <c r="B17" i="38"/>
  <c r="D23" i="38"/>
  <c r="B26" i="38"/>
  <c r="D25" i="38"/>
  <c r="B18" i="38"/>
  <c r="B20" i="38"/>
  <c r="B21" i="38"/>
  <c r="D24" i="38"/>
  <c r="D22" i="38"/>
  <c r="B23" i="38"/>
  <c r="B24" i="38"/>
  <c r="B19" i="38"/>
  <c r="D21" i="38"/>
  <c r="E21" i="38" s="1"/>
  <c r="B12" i="38"/>
  <c r="E51" i="38"/>
  <c r="E53" i="38"/>
  <c r="E55" i="38"/>
  <c r="E57" i="38"/>
  <c r="E59" i="38"/>
  <c r="E64" i="38"/>
  <c r="E66" i="38"/>
  <c r="E68" i="38"/>
  <c r="E70" i="38"/>
  <c r="E72" i="38"/>
  <c r="E79" i="38"/>
  <c r="E81" i="38"/>
  <c r="E83" i="38"/>
  <c r="E85" i="38"/>
  <c r="E87" i="38"/>
  <c r="E92" i="38"/>
  <c r="E94" i="38"/>
  <c r="E96" i="38"/>
  <c r="E98" i="38"/>
  <c r="E100" i="38"/>
  <c r="E50" i="38"/>
  <c r="E52" i="38"/>
  <c r="E54" i="38"/>
  <c r="E56" i="38"/>
  <c r="E58" i="38"/>
  <c r="E65" i="38"/>
  <c r="E67" i="38"/>
  <c r="E69" i="38"/>
  <c r="E71" i="38"/>
  <c r="E73" i="38"/>
  <c r="E54" i="37"/>
  <c r="E52" i="37"/>
  <c r="B25" i="37"/>
  <c r="B18" i="37"/>
  <c r="B21" i="37"/>
  <c r="C22" i="37"/>
  <c r="D17" i="37"/>
  <c r="E17" i="37" s="1"/>
  <c r="D22" i="37"/>
  <c r="C17" i="37"/>
  <c r="C25" i="37"/>
  <c r="D21" i="37"/>
  <c r="C23" i="37"/>
  <c r="C26" i="37"/>
  <c r="C24" i="37"/>
  <c r="B10" i="37"/>
  <c r="B12" i="37"/>
  <c r="I27" i="37"/>
  <c r="E51" i="37"/>
  <c r="E53" i="37"/>
  <c r="E55" i="37"/>
  <c r="E57" i="37"/>
  <c r="E59" i="37"/>
  <c r="E64" i="37"/>
  <c r="E66" i="37"/>
  <c r="E68" i="37"/>
  <c r="E70" i="37"/>
  <c r="E72" i="37"/>
  <c r="E79" i="37"/>
  <c r="E81" i="37"/>
  <c r="E83" i="37"/>
  <c r="E85" i="37"/>
  <c r="E87" i="37"/>
  <c r="E92" i="37"/>
  <c r="E94" i="37"/>
  <c r="E96" i="37"/>
  <c r="E98" i="37"/>
  <c r="E100" i="37"/>
  <c r="D23" i="37"/>
  <c r="E65" i="37"/>
  <c r="E67" i="37"/>
  <c r="E69" i="37"/>
  <c r="E71" i="37"/>
  <c r="E73" i="37"/>
  <c r="C18" i="36"/>
  <c r="D19" i="36"/>
  <c r="D23" i="36"/>
  <c r="C26" i="36"/>
  <c r="C25" i="36"/>
  <c r="B26" i="36"/>
  <c r="C20" i="36"/>
  <c r="B23" i="36"/>
  <c r="B18" i="36"/>
  <c r="B25" i="36"/>
  <c r="B21" i="36"/>
  <c r="E55" i="36"/>
  <c r="E83" i="36"/>
  <c r="E51" i="36"/>
  <c r="E79" i="36"/>
  <c r="I27" i="36"/>
  <c r="B10" i="36"/>
  <c r="B12" i="36"/>
  <c r="E64" i="36"/>
  <c r="E66" i="36"/>
  <c r="E68" i="36"/>
  <c r="E70" i="36"/>
  <c r="E72" i="36"/>
  <c r="E92" i="36"/>
  <c r="E94" i="36"/>
  <c r="E96" i="36"/>
  <c r="E98" i="36"/>
  <c r="E100" i="36"/>
  <c r="E50" i="36"/>
  <c r="E52" i="36"/>
  <c r="E54" i="36"/>
  <c r="E56" i="36"/>
  <c r="E58" i="36"/>
  <c r="E65" i="36"/>
  <c r="E67" i="36"/>
  <c r="E69" i="36"/>
  <c r="E71" i="36"/>
  <c r="E73" i="36"/>
  <c r="C22" i="35"/>
  <c r="B18" i="35"/>
  <c r="C17" i="35"/>
  <c r="C19" i="35"/>
  <c r="B22" i="35"/>
  <c r="C23" i="35"/>
  <c r="D24" i="35"/>
  <c r="E24" i="35" s="1"/>
  <c r="B26" i="35"/>
  <c r="E53" i="35"/>
  <c r="D20" i="35"/>
  <c r="E20" i="35" s="1"/>
  <c r="B17" i="35"/>
  <c r="C59" i="40" l="1"/>
  <c r="B59" i="40"/>
  <c r="D59" i="40"/>
  <c r="F59" i="40" s="1"/>
  <c r="B73" i="40"/>
  <c r="C73" i="40"/>
  <c r="C26" i="40" s="1"/>
  <c r="D73" i="40"/>
  <c r="F73" i="40" s="1"/>
  <c r="C87" i="40"/>
  <c r="D87" i="40"/>
  <c r="B87" i="40"/>
  <c r="F87" i="40"/>
  <c r="D101" i="40"/>
  <c r="C101" i="40"/>
  <c r="B101" i="40"/>
  <c r="F101" i="40"/>
  <c r="B72" i="40"/>
  <c r="D72" i="40"/>
  <c r="F72" i="40" s="1"/>
  <c r="C72" i="40"/>
  <c r="B58" i="40"/>
  <c r="D58" i="40"/>
  <c r="C58" i="40"/>
  <c r="B100" i="40"/>
  <c r="D100" i="40"/>
  <c r="C100" i="40"/>
  <c r="F100" i="40"/>
  <c r="B25" i="40"/>
  <c r="B86" i="40"/>
  <c r="D86" i="40"/>
  <c r="C86" i="40"/>
  <c r="F86" i="40"/>
  <c r="C85" i="40"/>
  <c r="B85" i="40"/>
  <c r="D85" i="40"/>
  <c r="F85" i="40"/>
  <c r="D57" i="40"/>
  <c r="B57" i="40"/>
  <c r="C57" i="40"/>
  <c r="F57" i="40"/>
  <c r="B71" i="40"/>
  <c r="B24" i="40" s="1"/>
  <c r="D71" i="40"/>
  <c r="F71" i="40" s="1"/>
  <c r="C71" i="40"/>
  <c r="C24" i="40" s="1"/>
  <c r="D99" i="40"/>
  <c r="C99" i="40"/>
  <c r="B99" i="40"/>
  <c r="F99" i="40"/>
  <c r="D98" i="40"/>
  <c r="F98" i="40" s="1"/>
  <c r="C98" i="40"/>
  <c r="B98" i="40"/>
  <c r="D70" i="40"/>
  <c r="F70" i="40" s="1"/>
  <c r="C70" i="40"/>
  <c r="B70" i="40"/>
  <c r="B56" i="40"/>
  <c r="D56" i="40"/>
  <c r="F56" i="40" s="1"/>
  <c r="C56" i="40"/>
  <c r="B84" i="40"/>
  <c r="D84" i="40"/>
  <c r="F84" i="40" s="1"/>
  <c r="C84" i="40"/>
  <c r="D115" i="42"/>
  <c r="C115" i="42"/>
  <c r="D116" i="42"/>
  <c r="C116" i="42"/>
  <c r="D111" i="42"/>
  <c r="C111" i="42"/>
  <c r="D112" i="42"/>
  <c r="C112" i="42"/>
  <c r="D113" i="42"/>
  <c r="C113" i="42"/>
  <c r="D109" i="42"/>
  <c r="C109" i="42"/>
  <c r="C92" i="36"/>
  <c r="B92" i="36"/>
  <c r="D92" i="36"/>
  <c r="B50" i="36"/>
  <c r="D50" i="36"/>
  <c r="C50" i="36"/>
  <c r="D64" i="36"/>
  <c r="D17" i="36" s="1"/>
  <c r="C64" i="36"/>
  <c r="B64" i="36"/>
  <c r="B78" i="36"/>
  <c r="D78" i="36"/>
  <c r="C78" i="36"/>
  <c r="F36" i="36"/>
  <c r="H19" i="49"/>
  <c r="H22" i="49"/>
  <c r="D118" i="49"/>
  <c r="G46" i="22" s="1"/>
  <c r="E25" i="45"/>
  <c r="E21" i="45"/>
  <c r="E22" i="45"/>
  <c r="E24" i="45"/>
  <c r="E26" i="45"/>
  <c r="I27" i="45" s="1"/>
  <c r="I28" i="45" s="1"/>
  <c r="E26" i="44"/>
  <c r="I27" i="44" s="1"/>
  <c r="E25" i="44"/>
  <c r="E24" i="44"/>
  <c r="E23" i="44"/>
  <c r="C22" i="40"/>
  <c r="D21" i="40"/>
  <c r="B20" i="40"/>
  <c r="E60" i="40"/>
  <c r="E25" i="43"/>
  <c r="E26" i="43"/>
  <c r="I27" i="43" s="1"/>
  <c r="C117" i="43"/>
  <c r="D117" i="43"/>
  <c r="E24" i="43"/>
  <c r="E23" i="43"/>
  <c r="E17" i="43"/>
  <c r="E19" i="42"/>
  <c r="I19" i="42" s="1"/>
  <c r="E22" i="42"/>
  <c r="I22" i="42" s="1"/>
  <c r="E25" i="42"/>
  <c r="I25" i="42" s="1"/>
  <c r="E26" i="42"/>
  <c r="E21" i="42"/>
  <c r="I21" i="42" s="1"/>
  <c r="E23" i="42"/>
  <c r="I23" i="42" s="1"/>
  <c r="E24" i="41"/>
  <c r="E23" i="41"/>
  <c r="E22" i="41"/>
  <c r="E21" i="41"/>
  <c r="C118" i="41"/>
  <c r="F41" i="22" s="1"/>
  <c r="E22" i="39"/>
  <c r="E21" i="39"/>
  <c r="E24" i="39"/>
  <c r="E26" i="39"/>
  <c r="I27" i="39" s="1"/>
  <c r="E25" i="39"/>
  <c r="E23" i="39"/>
  <c r="D67" i="37"/>
  <c r="C67" i="37"/>
  <c r="B67" i="37"/>
  <c r="B81" i="37"/>
  <c r="D81" i="37"/>
  <c r="C81" i="37"/>
  <c r="E74" i="37"/>
  <c r="F74" i="37" s="1"/>
  <c r="B53" i="37"/>
  <c r="C53" i="37"/>
  <c r="D53" i="37"/>
  <c r="C95" i="37"/>
  <c r="B95" i="37"/>
  <c r="D95" i="37"/>
  <c r="B94" i="37"/>
  <c r="D94" i="37"/>
  <c r="C94" i="37"/>
  <c r="B66" i="37"/>
  <c r="D66" i="37"/>
  <c r="C66" i="37"/>
  <c r="D52" i="37"/>
  <c r="B52" i="37"/>
  <c r="C52" i="37"/>
  <c r="D80" i="37"/>
  <c r="C80" i="37"/>
  <c r="B80" i="37"/>
  <c r="E22" i="37"/>
  <c r="E24" i="37"/>
  <c r="E21" i="37"/>
  <c r="E25" i="37"/>
  <c r="E23" i="37"/>
  <c r="D97" i="36"/>
  <c r="C97" i="36"/>
  <c r="B97" i="36"/>
  <c r="B83" i="36"/>
  <c r="D83" i="36"/>
  <c r="C83" i="36"/>
  <c r="D69" i="36"/>
  <c r="C69" i="36"/>
  <c r="B69" i="36"/>
  <c r="B55" i="36"/>
  <c r="D55" i="36"/>
  <c r="D22" i="36" s="1"/>
  <c r="E22" i="36" s="1"/>
  <c r="C55" i="36"/>
  <c r="B22" i="36"/>
  <c r="E22" i="38"/>
  <c r="E23" i="38"/>
  <c r="E24" i="38"/>
  <c r="E25" i="38"/>
  <c r="E18" i="36"/>
  <c r="E19" i="36"/>
  <c r="E20" i="36"/>
  <c r="E21" i="36"/>
  <c r="E23" i="36"/>
  <c r="E60" i="38"/>
  <c r="F60" i="38" s="1"/>
  <c r="C44" i="22"/>
  <c r="B31" i="36"/>
  <c r="B5" i="22" s="1"/>
  <c r="B31" i="37"/>
  <c r="B31" i="43"/>
  <c r="B12" i="22" s="1"/>
  <c r="B31" i="49"/>
  <c r="B15" i="22" s="1"/>
  <c r="J28" i="49"/>
  <c r="E46" i="22" s="1"/>
  <c r="C46" i="22"/>
  <c r="B46" i="22"/>
  <c r="I28" i="41"/>
  <c r="E74" i="45"/>
  <c r="F74" i="45" s="1"/>
  <c r="E88" i="45"/>
  <c r="F88" i="45" s="1"/>
  <c r="E31" i="45" s="1"/>
  <c r="E14" i="22" s="1"/>
  <c r="E60" i="45"/>
  <c r="F60" i="45" s="1"/>
  <c r="E102" i="45"/>
  <c r="F102" i="45" s="1"/>
  <c r="F46" i="45"/>
  <c r="E60" i="44"/>
  <c r="F60" i="44" s="1"/>
  <c r="E88" i="44"/>
  <c r="F88" i="44" s="1"/>
  <c r="E31" i="44" s="1"/>
  <c r="E13" i="22" s="1"/>
  <c r="E102" i="44"/>
  <c r="F102" i="44" s="1"/>
  <c r="E74" i="44"/>
  <c r="F74" i="44" s="1"/>
  <c r="F46" i="44"/>
  <c r="E102" i="43"/>
  <c r="F102" i="43" s="1"/>
  <c r="E74" i="43"/>
  <c r="F74" i="43" s="1"/>
  <c r="E60" i="43"/>
  <c r="F60" i="43" s="1"/>
  <c r="C31" i="43" s="1"/>
  <c r="C12" i="22" s="1"/>
  <c r="E88" i="43"/>
  <c r="F88" i="43" s="1"/>
  <c r="E31" i="43" s="1"/>
  <c r="E12" i="22" s="1"/>
  <c r="E102" i="42"/>
  <c r="F102" i="42" s="1"/>
  <c r="F31" i="42" s="1"/>
  <c r="F11" i="22" s="1"/>
  <c r="E74" i="42"/>
  <c r="F74" i="42" s="1"/>
  <c r="D31" i="42" s="1"/>
  <c r="D11" i="22" s="1"/>
  <c r="F46" i="42"/>
  <c r="E88" i="42"/>
  <c r="F88" i="42" s="1"/>
  <c r="E31" i="42" s="1"/>
  <c r="E11" i="22" s="1"/>
  <c r="E60" i="42"/>
  <c r="F60" i="42" s="1"/>
  <c r="E60" i="41"/>
  <c r="F60" i="41" s="1"/>
  <c r="C31" i="41" s="1"/>
  <c r="C10" i="22" s="1"/>
  <c r="E102" i="41"/>
  <c r="F102" i="41" s="1"/>
  <c r="E74" i="41"/>
  <c r="F74" i="41" s="1"/>
  <c r="F46" i="41"/>
  <c r="E88" i="41"/>
  <c r="F88" i="41" s="1"/>
  <c r="E31" i="41" s="1"/>
  <c r="E10" i="22" s="1"/>
  <c r="E102" i="40"/>
  <c r="F102" i="40" s="1"/>
  <c r="E74" i="40"/>
  <c r="F46" i="40"/>
  <c r="E88" i="40"/>
  <c r="F88" i="40" s="1"/>
  <c r="E60" i="39"/>
  <c r="F60" i="39" s="1"/>
  <c r="C31" i="39" s="1"/>
  <c r="C8" i="22" s="1"/>
  <c r="F46" i="39"/>
  <c r="E88" i="39"/>
  <c r="F88" i="39" s="1"/>
  <c r="E31" i="39" s="1"/>
  <c r="E8" i="22" s="1"/>
  <c r="E74" i="39"/>
  <c r="F74" i="39" s="1"/>
  <c r="D31" i="39" s="1"/>
  <c r="D8" i="22" s="1"/>
  <c r="E102" i="39"/>
  <c r="F102" i="39" s="1"/>
  <c r="E74" i="38"/>
  <c r="F74" i="38" s="1"/>
  <c r="D31" i="38" s="1"/>
  <c r="D7" i="22" s="1"/>
  <c r="E88" i="38"/>
  <c r="F88" i="38" s="1"/>
  <c r="E31" i="38" s="1"/>
  <c r="E7" i="22" s="1"/>
  <c r="E102" i="38"/>
  <c r="F102" i="38" s="1"/>
  <c r="F46" i="38"/>
  <c r="E102" i="37"/>
  <c r="F102" i="37" s="1"/>
  <c r="E60" i="37"/>
  <c r="F60" i="37" s="1"/>
  <c r="E88" i="37"/>
  <c r="F88" i="37" s="1"/>
  <c r="E74" i="36"/>
  <c r="F74" i="36" s="1"/>
  <c r="E60" i="36"/>
  <c r="F60" i="36" s="1"/>
  <c r="E102" i="36"/>
  <c r="F102" i="36" s="1"/>
  <c r="E88" i="36"/>
  <c r="F88" i="36" s="1"/>
  <c r="E31" i="36" s="1"/>
  <c r="E5" i="22" s="1"/>
  <c r="F31" i="45"/>
  <c r="F14" i="22" s="1"/>
  <c r="B13" i="45"/>
  <c r="H31" i="45"/>
  <c r="B13" i="44"/>
  <c r="H31" i="44"/>
  <c r="B13" i="43"/>
  <c r="H31" i="43"/>
  <c r="B13" i="42"/>
  <c r="H31" i="42"/>
  <c r="B13" i="41"/>
  <c r="H31" i="41"/>
  <c r="B13" i="40"/>
  <c r="H31" i="40"/>
  <c r="B13" i="39"/>
  <c r="H31" i="39"/>
  <c r="B13" i="38"/>
  <c r="H31" i="38"/>
  <c r="B13" i="37"/>
  <c r="H31" i="37"/>
  <c r="B13" i="36"/>
  <c r="H31" i="36"/>
  <c r="C25" i="40" l="1"/>
  <c r="D25" i="40"/>
  <c r="E25" i="40" s="1"/>
  <c r="F60" i="40"/>
  <c r="C31" i="40" s="1"/>
  <c r="C9" i="22" s="1"/>
  <c r="D26" i="40"/>
  <c r="B26" i="40"/>
  <c r="F74" i="40"/>
  <c r="D31" i="40" s="1"/>
  <c r="D9" i="22" s="1"/>
  <c r="F58" i="40"/>
  <c r="D24" i="40"/>
  <c r="F26" i="40"/>
  <c r="F25" i="40"/>
  <c r="F24" i="40"/>
  <c r="F23" i="40"/>
  <c r="I26" i="42"/>
  <c r="I27" i="42" s="1"/>
  <c r="I28" i="42" s="1"/>
  <c r="D42" i="22" s="1"/>
  <c r="E21" i="40"/>
  <c r="I21" i="40" s="1"/>
  <c r="D111" i="40"/>
  <c r="C111" i="40"/>
  <c r="D118" i="36"/>
  <c r="G36" i="22" s="1"/>
  <c r="E17" i="36"/>
  <c r="C36" i="22" s="1"/>
  <c r="B17" i="36"/>
  <c r="C17" i="36"/>
  <c r="B31" i="45"/>
  <c r="B14" i="22" s="1"/>
  <c r="D117" i="45"/>
  <c r="D118" i="45" s="1"/>
  <c r="G45" i="22" s="1"/>
  <c r="C117" i="45"/>
  <c r="C118" i="45" s="1"/>
  <c r="F45" i="22" s="1"/>
  <c r="C117" i="44"/>
  <c r="C118" i="44" s="1"/>
  <c r="F44" i="22" s="1"/>
  <c r="D117" i="44"/>
  <c r="D118" i="44" s="1"/>
  <c r="G44" i="22" s="1"/>
  <c r="B17" i="40"/>
  <c r="C18" i="40"/>
  <c r="C17" i="40"/>
  <c r="D17" i="40"/>
  <c r="D19" i="40"/>
  <c r="E19" i="40" s="1"/>
  <c r="I19" i="40" s="1"/>
  <c r="E31" i="40"/>
  <c r="E9" i="22" s="1"/>
  <c r="D20" i="40"/>
  <c r="B21" i="40"/>
  <c r="B22" i="40"/>
  <c r="C23" i="40"/>
  <c r="B23" i="40"/>
  <c r="D23" i="40"/>
  <c r="D71" i="22" s="1"/>
  <c r="D22" i="40"/>
  <c r="C21" i="40"/>
  <c r="C20" i="40"/>
  <c r="B19" i="40"/>
  <c r="C19" i="40"/>
  <c r="B18" i="40"/>
  <c r="D18" i="40"/>
  <c r="D118" i="43"/>
  <c r="G43" i="22" s="1"/>
  <c r="C118" i="43"/>
  <c r="F43" i="22" s="1"/>
  <c r="I28" i="43"/>
  <c r="D43" i="22" s="1"/>
  <c r="D117" i="42"/>
  <c r="D118" i="42" s="1"/>
  <c r="G42" i="22" s="1"/>
  <c r="C117" i="42"/>
  <c r="C118" i="42" s="1"/>
  <c r="F42" i="22" s="1"/>
  <c r="C41" i="22"/>
  <c r="D118" i="41"/>
  <c r="G41" i="22" s="1"/>
  <c r="B41" i="22"/>
  <c r="B31" i="41"/>
  <c r="B10" i="22" s="1"/>
  <c r="C39" i="22"/>
  <c r="C117" i="39"/>
  <c r="C118" i="39" s="1"/>
  <c r="F39" i="22" s="1"/>
  <c r="D117" i="39"/>
  <c r="D118" i="39" s="1"/>
  <c r="G39" i="22" s="1"/>
  <c r="B20" i="37"/>
  <c r="D20" i="37"/>
  <c r="C20" i="37"/>
  <c r="B19" i="37"/>
  <c r="E31" i="37"/>
  <c r="E6" i="22" s="1"/>
  <c r="C19" i="37"/>
  <c r="F31" i="37"/>
  <c r="F6" i="22" s="1"/>
  <c r="D19" i="37"/>
  <c r="C22" i="36"/>
  <c r="C118" i="38"/>
  <c r="F38" i="22" s="1"/>
  <c r="D118" i="38"/>
  <c r="G38" i="22" s="1"/>
  <c r="C118" i="36"/>
  <c r="F36" i="22" s="1"/>
  <c r="B31" i="40"/>
  <c r="B9" i="22" s="1"/>
  <c r="B31" i="38"/>
  <c r="B7" i="22" s="1"/>
  <c r="D46" i="22"/>
  <c r="B31" i="44"/>
  <c r="B13" i="22" s="1"/>
  <c r="B31" i="42"/>
  <c r="B11" i="22" s="1"/>
  <c r="I28" i="44"/>
  <c r="E44" i="22" s="1"/>
  <c r="B44" i="22"/>
  <c r="I28" i="39"/>
  <c r="E39" i="22" s="1"/>
  <c r="I28" i="38"/>
  <c r="D38" i="22" s="1"/>
  <c r="B43" i="22"/>
  <c r="C43" i="22"/>
  <c r="C38" i="22"/>
  <c r="C45" i="22"/>
  <c r="B42" i="22"/>
  <c r="B39" i="22"/>
  <c r="B31" i="39"/>
  <c r="B8" i="22" s="1"/>
  <c r="G31" i="49"/>
  <c r="I31" i="49" s="1"/>
  <c r="B45" i="22"/>
  <c r="E41" i="22"/>
  <c r="D41" i="22"/>
  <c r="D45" i="22"/>
  <c r="E45" i="22"/>
  <c r="F31" i="36"/>
  <c r="F5" i="22" s="1"/>
  <c r="D31" i="36"/>
  <c r="D5" i="22" s="1"/>
  <c r="C31" i="36"/>
  <c r="C5" i="22" s="1"/>
  <c r="C31" i="45"/>
  <c r="C14" i="22" s="1"/>
  <c r="F31" i="44"/>
  <c r="F13" i="22" s="1"/>
  <c r="C31" i="44"/>
  <c r="C13" i="22" s="1"/>
  <c r="F31" i="43"/>
  <c r="F12" i="22" s="1"/>
  <c r="C31" i="42"/>
  <c r="C11" i="22" s="1"/>
  <c r="F31" i="41"/>
  <c r="F10" i="22" s="1"/>
  <c r="F31" i="40"/>
  <c r="F9" i="22" s="1"/>
  <c r="F31" i="39"/>
  <c r="F8" i="22" s="1"/>
  <c r="F31" i="38"/>
  <c r="F7" i="22" s="1"/>
  <c r="B6" i="22"/>
  <c r="D31" i="45"/>
  <c r="D14" i="22" s="1"/>
  <c r="G24" i="45"/>
  <c r="G20" i="45"/>
  <c r="G25" i="45"/>
  <c r="G21" i="45"/>
  <c r="G17" i="45"/>
  <c r="G26" i="45"/>
  <c r="G22" i="45"/>
  <c r="G18" i="45"/>
  <c r="G23" i="45"/>
  <c r="G19" i="45"/>
  <c r="D31" i="44"/>
  <c r="D13" i="22" s="1"/>
  <c r="G24" i="44"/>
  <c r="G20" i="44"/>
  <c r="G25" i="44"/>
  <c r="G21" i="44"/>
  <c r="G17" i="44"/>
  <c r="G26" i="44"/>
  <c r="G22" i="44"/>
  <c r="G18" i="44"/>
  <c r="G23" i="44"/>
  <c r="G19" i="44"/>
  <c r="D31" i="43"/>
  <c r="D12" i="22" s="1"/>
  <c r="G24" i="43"/>
  <c r="G20" i="43"/>
  <c r="G25" i="43"/>
  <c r="G21" i="43"/>
  <c r="G17" i="43"/>
  <c r="G26" i="43"/>
  <c r="G22" i="43"/>
  <c r="G18" i="43"/>
  <c r="G23" i="43"/>
  <c r="G19" i="43"/>
  <c r="G24" i="42"/>
  <c r="G20" i="42"/>
  <c r="G25" i="42"/>
  <c r="G21" i="42"/>
  <c r="G17" i="42"/>
  <c r="G26" i="42"/>
  <c r="G22" i="42"/>
  <c r="G18" i="42"/>
  <c r="G23" i="42"/>
  <c r="G19" i="42"/>
  <c r="D31" i="41"/>
  <c r="G24" i="41"/>
  <c r="G20" i="41"/>
  <c r="G25" i="41"/>
  <c r="G21" i="41"/>
  <c r="G17" i="41"/>
  <c r="G26" i="41"/>
  <c r="G22" i="41"/>
  <c r="G18" i="41"/>
  <c r="G23" i="41"/>
  <c r="G19" i="41"/>
  <c r="G24" i="39"/>
  <c r="G20" i="39"/>
  <c r="G25" i="39"/>
  <c r="G21" i="39"/>
  <c r="G17" i="39"/>
  <c r="G26" i="39"/>
  <c r="G22" i="39"/>
  <c r="G18" i="39"/>
  <c r="G23" i="39"/>
  <c r="G19" i="39"/>
  <c r="C31" i="38"/>
  <c r="C7" i="22" s="1"/>
  <c r="G24" i="38"/>
  <c r="G20" i="38"/>
  <c r="G25" i="38"/>
  <c r="G21" i="38"/>
  <c r="G17" i="38"/>
  <c r="G26" i="38"/>
  <c r="G22" i="38"/>
  <c r="G18" i="38"/>
  <c r="G23" i="38"/>
  <c r="G19" i="38"/>
  <c r="D31" i="37"/>
  <c r="D6" i="22" s="1"/>
  <c r="C31" i="37"/>
  <c r="G24" i="37"/>
  <c r="G25" i="37"/>
  <c r="G21" i="37"/>
  <c r="G17" i="37"/>
  <c r="G26" i="37"/>
  <c r="G22" i="37"/>
  <c r="G18" i="37"/>
  <c r="G23" i="37"/>
  <c r="G24" i="36"/>
  <c r="G20" i="36"/>
  <c r="G25" i="36"/>
  <c r="G21" i="36"/>
  <c r="G26" i="36"/>
  <c r="G22" i="36"/>
  <c r="G18" i="36"/>
  <c r="G23" i="36"/>
  <c r="G19" i="36"/>
  <c r="G25" i="40" l="1"/>
  <c r="D73" i="22"/>
  <c r="D115" i="40"/>
  <c r="C115" i="40"/>
  <c r="D74" i="22"/>
  <c r="C116" i="40"/>
  <c r="C117" i="40" s="1"/>
  <c r="E26" i="40"/>
  <c r="D116" i="40"/>
  <c r="D117" i="40" s="1"/>
  <c r="G73" i="22"/>
  <c r="I25" i="40"/>
  <c r="E73" i="22"/>
  <c r="D72" i="22"/>
  <c r="D114" i="40"/>
  <c r="E24" i="40"/>
  <c r="C114" i="40"/>
  <c r="C42" i="22"/>
  <c r="D113" i="40"/>
  <c r="C113" i="40"/>
  <c r="G21" i="40"/>
  <c r="D112" i="40"/>
  <c r="C112" i="40"/>
  <c r="D110" i="40"/>
  <c r="C110" i="40"/>
  <c r="D109" i="40"/>
  <c r="C109" i="40"/>
  <c r="E43" i="22"/>
  <c r="G17" i="36"/>
  <c r="B36" i="22"/>
  <c r="I28" i="36"/>
  <c r="D44" i="22"/>
  <c r="E17" i="40"/>
  <c r="G19" i="40"/>
  <c r="E20" i="40"/>
  <c r="I20" i="40" s="1"/>
  <c r="E22" i="40"/>
  <c r="I22" i="40" s="1"/>
  <c r="E23" i="40"/>
  <c r="E18" i="40"/>
  <c r="E42" i="22"/>
  <c r="E20" i="37"/>
  <c r="E19" i="37"/>
  <c r="D52" i="22"/>
  <c r="D55" i="22"/>
  <c r="E38" i="22"/>
  <c r="D39" i="22"/>
  <c r="D57" i="22"/>
  <c r="G31" i="42"/>
  <c r="I31" i="42" s="1"/>
  <c r="D53" i="22"/>
  <c r="D58" i="22"/>
  <c r="G31" i="36"/>
  <c r="I31" i="36" s="1"/>
  <c r="D56" i="22"/>
  <c r="D54" i="22"/>
  <c r="G31" i="39"/>
  <c r="I31" i="39" s="1"/>
  <c r="G31" i="45"/>
  <c r="I31" i="45" s="1"/>
  <c r="G31" i="44"/>
  <c r="I31" i="44" s="1"/>
  <c r="G31" i="43"/>
  <c r="I31" i="43" s="1"/>
  <c r="G31" i="41"/>
  <c r="I31" i="41" s="1"/>
  <c r="D10" i="22"/>
  <c r="C55" i="22"/>
  <c r="C57" i="22"/>
  <c r="C58" i="22"/>
  <c r="C53" i="22"/>
  <c r="C54" i="22"/>
  <c r="C56" i="22"/>
  <c r="C52" i="22"/>
  <c r="G31" i="38"/>
  <c r="I31" i="38" s="1"/>
  <c r="G31" i="37"/>
  <c r="I31" i="37" s="1"/>
  <c r="C6" i="22"/>
  <c r="G31" i="40"/>
  <c r="I31" i="40" s="1"/>
  <c r="E74" i="22" l="1"/>
  <c r="I26" i="40"/>
  <c r="I27" i="40" s="1"/>
  <c r="G26" i="40"/>
  <c r="I24" i="40"/>
  <c r="E72" i="22"/>
  <c r="G24" i="40"/>
  <c r="I23" i="40"/>
  <c r="E71" i="22"/>
  <c r="D36" i="22"/>
  <c r="E36" i="22"/>
  <c r="G17" i="40"/>
  <c r="G20" i="40"/>
  <c r="C118" i="40"/>
  <c r="F40" i="22" s="1"/>
  <c r="D118" i="40"/>
  <c r="G40" i="22" s="1"/>
  <c r="G22" i="40"/>
  <c r="G23" i="40"/>
  <c r="G18" i="40"/>
  <c r="D118" i="37"/>
  <c r="G37" i="22" s="1"/>
  <c r="G20" i="37"/>
  <c r="C118" i="37"/>
  <c r="F37" i="22" s="1"/>
  <c r="G19" i="37"/>
  <c r="E97" i="33"/>
  <c r="E96" i="33"/>
  <c r="E95" i="33"/>
  <c r="E94" i="33"/>
  <c r="E93" i="33"/>
  <c r="E92" i="33"/>
  <c r="E91" i="33"/>
  <c r="E90" i="33"/>
  <c r="E89" i="33"/>
  <c r="E88" i="33"/>
  <c r="E83" i="33"/>
  <c r="E82" i="33"/>
  <c r="E81" i="33"/>
  <c r="E80" i="33"/>
  <c r="E79" i="33"/>
  <c r="E78" i="33"/>
  <c r="E77" i="33"/>
  <c r="E76" i="33"/>
  <c r="E75" i="33"/>
  <c r="E74" i="33"/>
  <c r="E69" i="33"/>
  <c r="E68" i="33"/>
  <c r="E67" i="33"/>
  <c r="E66" i="33"/>
  <c r="E65" i="33"/>
  <c r="E64" i="33"/>
  <c r="E63" i="33"/>
  <c r="E62" i="33"/>
  <c r="E61" i="33"/>
  <c r="E60" i="33"/>
  <c r="E55" i="33"/>
  <c r="E54" i="33"/>
  <c r="E53" i="33"/>
  <c r="E52" i="33"/>
  <c r="E51" i="33"/>
  <c r="E50" i="33"/>
  <c r="E49" i="33"/>
  <c r="E48" i="33"/>
  <c r="E47" i="33"/>
  <c r="E46" i="33"/>
  <c r="E41" i="33"/>
  <c r="E40" i="33"/>
  <c r="E39" i="33"/>
  <c r="E38" i="33"/>
  <c r="E37" i="33"/>
  <c r="E36" i="33"/>
  <c r="E35" i="33"/>
  <c r="E34" i="33"/>
  <c r="E33" i="33"/>
  <c r="E32" i="33"/>
  <c r="E17" i="33"/>
  <c r="L100" i="32"/>
  <c r="L99" i="32"/>
  <c r="L98" i="32"/>
  <c r="L97" i="32"/>
  <c r="L96" i="32"/>
  <c r="L95" i="32"/>
  <c r="L94" i="32"/>
  <c r="L93" i="32"/>
  <c r="L92" i="32"/>
  <c r="L91" i="32"/>
  <c r="L86" i="32"/>
  <c r="L85" i="32"/>
  <c r="L84" i="32"/>
  <c r="L83" i="32"/>
  <c r="L82" i="32"/>
  <c r="L81" i="32"/>
  <c r="L80" i="32"/>
  <c r="L79" i="32"/>
  <c r="L78" i="32"/>
  <c r="L77" i="32"/>
  <c r="L72" i="32"/>
  <c r="L71" i="32"/>
  <c r="L70" i="32"/>
  <c r="L69" i="32"/>
  <c r="L68" i="32"/>
  <c r="L67" i="32"/>
  <c r="L66" i="32"/>
  <c r="L65" i="32"/>
  <c r="L64" i="32"/>
  <c r="L63" i="32"/>
  <c r="L58" i="32"/>
  <c r="L57" i="32"/>
  <c r="L56" i="32"/>
  <c r="L55" i="32"/>
  <c r="L54" i="32"/>
  <c r="L53" i="32"/>
  <c r="L52" i="32"/>
  <c r="L51" i="32"/>
  <c r="L50" i="32"/>
  <c r="L49" i="32"/>
  <c r="E45" i="32"/>
  <c r="L44" i="32"/>
  <c r="E44" i="32"/>
  <c r="E100" i="32" s="1"/>
  <c r="C26" i="32"/>
  <c r="B26" i="32"/>
  <c r="L43" i="32"/>
  <c r="E43" i="32"/>
  <c r="E85" i="32" s="1"/>
  <c r="F43" i="32"/>
  <c r="B25" i="32"/>
  <c r="L42" i="32"/>
  <c r="E42" i="32"/>
  <c r="E98" i="32" s="1"/>
  <c r="D24" i="32"/>
  <c r="E24" i="32" s="1"/>
  <c r="C24" i="32"/>
  <c r="B24" i="32"/>
  <c r="L41" i="32"/>
  <c r="E41" i="32"/>
  <c r="E83" i="32" s="1"/>
  <c r="F83" i="32" s="1"/>
  <c r="F41" i="32"/>
  <c r="B23" i="32"/>
  <c r="L40" i="32"/>
  <c r="E40" i="32"/>
  <c r="E96" i="32" s="1"/>
  <c r="B22" i="32"/>
  <c r="L39" i="32"/>
  <c r="E39" i="32"/>
  <c r="E81" i="32" s="1"/>
  <c r="F81" i="32" s="1"/>
  <c r="F39" i="32"/>
  <c r="L38" i="32"/>
  <c r="E38" i="32"/>
  <c r="E94" i="32" s="1"/>
  <c r="F94" i="32" s="1"/>
  <c r="B20" i="32"/>
  <c r="L37" i="32"/>
  <c r="E37" i="32"/>
  <c r="E79" i="32" s="1"/>
  <c r="D19" i="32"/>
  <c r="E19" i="32" s="1"/>
  <c r="C19" i="32"/>
  <c r="L36" i="32"/>
  <c r="E36" i="32"/>
  <c r="E92" i="32" s="1"/>
  <c r="F92" i="32" s="1"/>
  <c r="D18" i="32"/>
  <c r="E18" i="32" s="1"/>
  <c r="B18" i="32"/>
  <c r="L35" i="32"/>
  <c r="E35" i="32"/>
  <c r="E77" i="32" s="1"/>
  <c r="F35" i="32"/>
  <c r="B17" i="32"/>
  <c r="H27" i="32"/>
  <c r="D9" i="32"/>
  <c r="D10" i="32" s="1"/>
  <c r="D8" i="32"/>
  <c r="C8" i="32"/>
  <c r="C9" i="32" s="1"/>
  <c r="C10" i="32" s="1"/>
  <c r="B8" i="32"/>
  <c r="B9" i="32" s="1"/>
  <c r="B10" i="32" s="1"/>
  <c r="L100" i="31"/>
  <c r="L99" i="31"/>
  <c r="L98" i="31"/>
  <c r="L97" i="31"/>
  <c r="L96" i="31"/>
  <c r="L95" i="31"/>
  <c r="L94" i="31"/>
  <c r="L93" i="31"/>
  <c r="L92" i="31"/>
  <c r="L91" i="31"/>
  <c r="L86" i="31"/>
  <c r="E86" i="31"/>
  <c r="F86" i="31"/>
  <c r="F87" i="31" s="1"/>
  <c r="L85" i="31"/>
  <c r="L84" i="31"/>
  <c r="E84" i="31"/>
  <c r="F84" i="31"/>
  <c r="L83" i="31"/>
  <c r="L82" i="31"/>
  <c r="E82" i="31"/>
  <c r="F82" i="31"/>
  <c r="L81" i="31"/>
  <c r="L80" i="31"/>
  <c r="E80" i="31"/>
  <c r="F80" i="31"/>
  <c r="L79" i="31"/>
  <c r="L78" i="31"/>
  <c r="E78" i="31"/>
  <c r="F78" i="31"/>
  <c r="L77" i="31"/>
  <c r="L72" i="31"/>
  <c r="L71" i="31"/>
  <c r="L70" i="31"/>
  <c r="L69" i="31"/>
  <c r="L68" i="31"/>
  <c r="L67" i="31"/>
  <c r="L66" i="31"/>
  <c r="L65" i="31"/>
  <c r="L64" i="31"/>
  <c r="L63" i="31"/>
  <c r="L58" i="31"/>
  <c r="E58" i="31"/>
  <c r="F58" i="31"/>
  <c r="L57" i="31"/>
  <c r="L56" i="31"/>
  <c r="E56" i="31"/>
  <c r="F56" i="31"/>
  <c r="L55" i="31"/>
  <c r="L54" i="31"/>
  <c r="E54" i="31"/>
  <c r="F54" i="31"/>
  <c r="L53" i="31"/>
  <c r="L52" i="31"/>
  <c r="E52" i="31"/>
  <c r="F52" i="31"/>
  <c r="L51" i="31"/>
  <c r="L50" i="31"/>
  <c r="E50" i="31"/>
  <c r="F50" i="31"/>
  <c r="L49" i="31"/>
  <c r="E45" i="31"/>
  <c r="L44" i="31"/>
  <c r="E44" i="31"/>
  <c r="E100" i="31" s="1"/>
  <c r="L43" i="31"/>
  <c r="E43" i="31"/>
  <c r="E85" i="31" s="1"/>
  <c r="F43" i="31"/>
  <c r="L42" i="31"/>
  <c r="E42" i="31"/>
  <c r="E98" i="31" s="1"/>
  <c r="L41" i="31"/>
  <c r="E41" i="31"/>
  <c r="E83" i="31" s="1"/>
  <c r="F41" i="31"/>
  <c r="B23" i="31"/>
  <c r="L40" i="31"/>
  <c r="E40" i="31"/>
  <c r="E96" i="31" s="1"/>
  <c r="L39" i="31"/>
  <c r="E39" i="31"/>
  <c r="E81" i="31" s="1"/>
  <c r="F81" i="31" s="1"/>
  <c r="F39" i="31"/>
  <c r="L38" i="31"/>
  <c r="E38" i="31"/>
  <c r="E94" i="31" s="1"/>
  <c r="F94" i="31" s="1"/>
  <c r="F38" i="31"/>
  <c r="L37" i="31"/>
  <c r="E37" i="31"/>
  <c r="E79" i="31" s="1"/>
  <c r="F37" i="31"/>
  <c r="L36" i="31"/>
  <c r="E36" i="31"/>
  <c r="E92" i="31" s="1"/>
  <c r="L35" i="31"/>
  <c r="E35" i="31"/>
  <c r="E77" i="31" s="1"/>
  <c r="F35" i="31"/>
  <c r="H27" i="31"/>
  <c r="B25" i="31"/>
  <c r="B22" i="31"/>
  <c r="D9" i="31"/>
  <c r="D10" i="31" s="1"/>
  <c r="B9" i="31"/>
  <c r="B10" i="31" s="1"/>
  <c r="D8" i="31"/>
  <c r="C8" i="31"/>
  <c r="C9" i="31" s="1"/>
  <c r="B8" i="31"/>
  <c r="L100" i="30"/>
  <c r="L99" i="30"/>
  <c r="L98" i="30"/>
  <c r="L97" i="30"/>
  <c r="L96" i="30"/>
  <c r="L95" i="30"/>
  <c r="L94" i="30"/>
  <c r="L93" i="30"/>
  <c r="L92" i="30"/>
  <c r="L91" i="30"/>
  <c r="L86" i="30"/>
  <c r="L85" i="30"/>
  <c r="L84" i="30"/>
  <c r="L83" i="30"/>
  <c r="L82" i="30"/>
  <c r="L81" i="30"/>
  <c r="L80" i="30"/>
  <c r="L79" i="30"/>
  <c r="L78" i="30"/>
  <c r="L77" i="30"/>
  <c r="L72" i="30"/>
  <c r="L71" i="30"/>
  <c r="L70" i="30"/>
  <c r="L69" i="30"/>
  <c r="L68" i="30"/>
  <c r="L67" i="30"/>
  <c r="L66" i="30"/>
  <c r="L65" i="30"/>
  <c r="L64" i="30"/>
  <c r="L63" i="30"/>
  <c r="L58" i="30"/>
  <c r="L57" i="30"/>
  <c r="E57" i="30"/>
  <c r="F57" i="30"/>
  <c r="L56" i="30"/>
  <c r="L55" i="30"/>
  <c r="E55" i="30"/>
  <c r="F55" i="30"/>
  <c r="L54" i="30"/>
  <c r="L53" i="30"/>
  <c r="E53" i="30"/>
  <c r="F53" i="30"/>
  <c r="L52" i="30"/>
  <c r="L51" i="30"/>
  <c r="E51" i="30"/>
  <c r="F51" i="30"/>
  <c r="L50" i="30"/>
  <c r="L49" i="30"/>
  <c r="E49" i="30"/>
  <c r="F49" i="30"/>
  <c r="E45" i="30"/>
  <c r="L44" i="30"/>
  <c r="E44" i="30"/>
  <c r="E100" i="30" s="1"/>
  <c r="F44" i="30"/>
  <c r="F45" i="30" s="1"/>
  <c r="L43" i="30"/>
  <c r="E43" i="30"/>
  <c r="E85" i="30" s="1"/>
  <c r="F43" i="30"/>
  <c r="L42" i="30"/>
  <c r="E42" i="30"/>
  <c r="E98" i="30" s="1"/>
  <c r="F98" i="30" s="1"/>
  <c r="L41" i="30"/>
  <c r="E41" i="30"/>
  <c r="E83" i="30" s="1"/>
  <c r="B23" i="30"/>
  <c r="L40" i="30"/>
  <c r="E40" i="30"/>
  <c r="E96" i="30" s="1"/>
  <c r="C22" i="30"/>
  <c r="L39" i="30"/>
  <c r="E39" i="30"/>
  <c r="E81" i="30" s="1"/>
  <c r="F39" i="30"/>
  <c r="L38" i="30"/>
  <c r="E38" i="30"/>
  <c r="E94" i="30" s="1"/>
  <c r="F38" i="30"/>
  <c r="L37" i="30"/>
  <c r="E37" i="30"/>
  <c r="E79" i="30" s="1"/>
  <c r="F79" i="30" s="1"/>
  <c r="F37" i="30"/>
  <c r="C19" i="30"/>
  <c r="B19" i="30"/>
  <c r="L36" i="30"/>
  <c r="E36" i="30"/>
  <c r="E92" i="30" s="1"/>
  <c r="F36" i="30"/>
  <c r="L35" i="30"/>
  <c r="E35" i="30"/>
  <c r="E77" i="30" s="1"/>
  <c r="F35" i="30"/>
  <c r="H27" i="30"/>
  <c r="D9" i="30"/>
  <c r="D10" i="30" s="1"/>
  <c r="D8" i="30"/>
  <c r="C8" i="30"/>
  <c r="C9" i="30" s="1"/>
  <c r="B8" i="30"/>
  <c r="B9" i="30" s="1"/>
  <c r="B10" i="30" s="1"/>
  <c r="G74" i="22" l="1"/>
  <c r="G72" i="22"/>
  <c r="G71" i="22"/>
  <c r="I28" i="40"/>
  <c r="B40" i="22"/>
  <c r="C40" i="22"/>
  <c r="C37" i="22"/>
  <c r="I28" i="37"/>
  <c r="B37" i="22"/>
  <c r="F92" i="30"/>
  <c r="F96" i="31"/>
  <c r="F100" i="31"/>
  <c r="D23" i="32"/>
  <c r="E23" i="32" s="1"/>
  <c r="B26" i="31"/>
  <c r="C18" i="30"/>
  <c r="C24" i="30"/>
  <c r="F37" i="32"/>
  <c r="C17" i="32"/>
  <c r="C18" i="32"/>
  <c r="C21" i="32"/>
  <c r="C25" i="32"/>
  <c r="D21" i="32"/>
  <c r="E21" i="32" s="1"/>
  <c r="I21" i="32" s="1"/>
  <c r="B21" i="32"/>
  <c r="F98" i="32"/>
  <c r="F96" i="32"/>
  <c r="F100" i="32"/>
  <c r="F101" i="32" s="1"/>
  <c r="F79" i="32"/>
  <c r="D22" i="32"/>
  <c r="E22" i="32" s="1"/>
  <c r="I22" i="32" s="1"/>
  <c r="F85" i="32"/>
  <c r="B19" i="32"/>
  <c r="D20" i="32"/>
  <c r="E20" i="32" s="1"/>
  <c r="I20" i="32" s="1"/>
  <c r="C20" i="32"/>
  <c r="C23" i="32"/>
  <c r="D26" i="32"/>
  <c r="E26" i="32" s="1"/>
  <c r="I26" i="32" s="1"/>
  <c r="I27" i="32" s="1"/>
  <c r="C22" i="32"/>
  <c r="D17" i="32"/>
  <c r="E17" i="32" s="1"/>
  <c r="I17" i="32" s="1"/>
  <c r="D25" i="32"/>
  <c r="E25" i="32" s="1"/>
  <c r="I25" i="32" s="1"/>
  <c r="I23" i="32"/>
  <c r="I19" i="32"/>
  <c r="I18" i="32"/>
  <c r="E87" i="32"/>
  <c r="F77" i="32"/>
  <c r="I24" i="32"/>
  <c r="B12" i="32"/>
  <c r="F36" i="32"/>
  <c r="F38" i="32"/>
  <c r="F40" i="32"/>
  <c r="F42" i="32"/>
  <c r="F44" i="32"/>
  <c r="E50" i="32"/>
  <c r="F50" i="32" s="1"/>
  <c r="E52" i="32"/>
  <c r="F52" i="32" s="1"/>
  <c r="E54" i="32"/>
  <c r="F54" i="32" s="1"/>
  <c r="E56" i="32"/>
  <c r="F56" i="32" s="1"/>
  <c r="E58" i="32"/>
  <c r="F58" i="32" s="1"/>
  <c r="E63" i="32"/>
  <c r="E65" i="32"/>
  <c r="F65" i="32" s="1"/>
  <c r="E67" i="32"/>
  <c r="F67" i="32" s="1"/>
  <c r="E69" i="32"/>
  <c r="F69" i="32" s="1"/>
  <c r="E71" i="32"/>
  <c r="F71" i="32" s="1"/>
  <c r="E78" i="32"/>
  <c r="F78" i="32" s="1"/>
  <c r="E80" i="32"/>
  <c r="F80" i="32" s="1"/>
  <c r="E82" i="32"/>
  <c r="F82" i="32" s="1"/>
  <c r="E84" i="32"/>
  <c r="F84" i="32" s="1"/>
  <c r="E86" i="32"/>
  <c r="F86" i="32" s="1"/>
  <c r="E91" i="32"/>
  <c r="E93" i="32"/>
  <c r="F93" i="32" s="1"/>
  <c r="E95" i="32"/>
  <c r="F95" i="32" s="1"/>
  <c r="E97" i="32"/>
  <c r="F97" i="32" s="1"/>
  <c r="E99" i="32"/>
  <c r="F99" i="32" s="1"/>
  <c r="E49" i="32"/>
  <c r="E51" i="32"/>
  <c r="F51" i="32" s="1"/>
  <c r="E53" i="32"/>
  <c r="F53" i="32" s="1"/>
  <c r="E55" i="32"/>
  <c r="F55" i="32" s="1"/>
  <c r="E57" i="32"/>
  <c r="F57" i="32" s="1"/>
  <c r="E64" i="32"/>
  <c r="F64" i="32" s="1"/>
  <c r="E66" i="32"/>
  <c r="F66" i="32" s="1"/>
  <c r="E68" i="32"/>
  <c r="F68" i="32" s="1"/>
  <c r="E70" i="32"/>
  <c r="F70" i="32" s="1"/>
  <c r="E72" i="32"/>
  <c r="F72" i="32" s="1"/>
  <c r="C18" i="31"/>
  <c r="C19" i="31"/>
  <c r="D17" i="31"/>
  <c r="E17" i="31" s="1"/>
  <c r="B20" i="31"/>
  <c r="B19" i="31"/>
  <c r="C24" i="31"/>
  <c r="D18" i="31"/>
  <c r="E18" i="31" s="1"/>
  <c r="I18" i="31" s="1"/>
  <c r="D21" i="31"/>
  <c r="E21" i="31" s="1"/>
  <c r="I21" i="31" s="1"/>
  <c r="B21" i="31"/>
  <c r="B17" i="31"/>
  <c r="F85" i="31"/>
  <c r="C21" i="31"/>
  <c r="C26" i="31"/>
  <c r="D20" i="31"/>
  <c r="E20" i="31" s="1"/>
  <c r="I20" i="31" s="1"/>
  <c r="D23" i="31"/>
  <c r="E23" i="31" s="1"/>
  <c r="I23" i="31" s="1"/>
  <c r="F92" i="31"/>
  <c r="C20" i="31"/>
  <c r="D22" i="31"/>
  <c r="E22" i="31" s="1"/>
  <c r="I22" i="31" s="1"/>
  <c r="C23" i="31"/>
  <c r="F98" i="31"/>
  <c r="C22" i="31"/>
  <c r="B18" i="31"/>
  <c r="F79" i="31"/>
  <c r="F83" i="31"/>
  <c r="D24" i="31"/>
  <c r="E24" i="31" s="1"/>
  <c r="I24" i="31" s="1"/>
  <c r="B24" i="31"/>
  <c r="D26" i="31"/>
  <c r="E26" i="31" s="1"/>
  <c r="I26" i="31" s="1"/>
  <c r="I27" i="31" s="1"/>
  <c r="D25" i="31"/>
  <c r="E25" i="31" s="1"/>
  <c r="I25" i="31" s="1"/>
  <c r="C17" i="31"/>
  <c r="C25" i="31"/>
  <c r="D19" i="31"/>
  <c r="E19" i="31" s="1"/>
  <c r="I19" i="31" s="1"/>
  <c r="E87" i="31"/>
  <c r="F77" i="31"/>
  <c r="C10" i="31"/>
  <c r="B12" i="31"/>
  <c r="F101" i="31"/>
  <c r="I17" i="31"/>
  <c r="F36" i="31"/>
  <c r="F40" i="31"/>
  <c r="F42" i="31"/>
  <c r="F44" i="31"/>
  <c r="F59" i="31"/>
  <c r="E63" i="31"/>
  <c r="E65" i="31"/>
  <c r="F65" i="31" s="1"/>
  <c r="E67" i="31"/>
  <c r="F67" i="31" s="1"/>
  <c r="E69" i="31"/>
  <c r="F69" i="31" s="1"/>
  <c r="E71" i="31"/>
  <c r="F71" i="31" s="1"/>
  <c r="E91" i="31"/>
  <c r="E93" i="31"/>
  <c r="F93" i="31" s="1"/>
  <c r="E95" i="31"/>
  <c r="F95" i="31" s="1"/>
  <c r="E97" i="31"/>
  <c r="F97" i="31" s="1"/>
  <c r="E99" i="31"/>
  <c r="F99" i="31" s="1"/>
  <c r="E49" i="31"/>
  <c r="E51" i="31"/>
  <c r="F51" i="31" s="1"/>
  <c r="E53" i="31"/>
  <c r="F53" i="31" s="1"/>
  <c r="E55" i="31"/>
  <c r="F55" i="31" s="1"/>
  <c r="E57" i="31"/>
  <c r="F57" i="31" s="1"/>
  <c r="E64" i="31"/>
  <c r="F64" i="31" s="1"/>
  <c r="E66" i="31"/>
  <c r="F66" i="31" s="1"/>
  <c r="E68" i="31"/>
  <c r="F68" i="31" s="1"/>
  <c r="E70" i="31"/>
  <c r="F70" i="31" s="1"/>
  <c r="E72" i="31"/>
  <c r="F72" i="31" s="1"/>
  <c r="B18" i="30"/>
  <c r="C26" i="30"/>
  <c r="D21" i="30"/>
  <c r="E21" i="30" s="1"/>
  <c r="D25" i="30"/>
  <c r="E25" i="30" s="1"/>
  <c r="F94" i="30"/>
  <c r="D20" i="30"/>
  <c r="E20" i="30" s="1"/>
  <c r="I20" i="30" s="1"/>
  <c r="F96" i="30"/>
  <c r="D23" i="30"/>
  <c r="E23" i="30" s="1"/>
  <c r="I23" i="30" s="1"/>
  <c r="F100" i="30"/>
  <c r="F101" i="30" s="1"/>
  <c r="C21" i="30"/>
  <c r="C17" i="30"/>
  <c r="C23" i="30"/>
  <c r="C25" i="30"/>
  <c r="B22" i="30"/>
  <c r="F83" i="30"/>
  <c r="D24" i="30"/>
  <c r="E24" i="30" s="1"/>
  <c r="I24" i="30" s="1"/>
  <c r="B26" i="30"/>
  <c r="F81" i="30"/>
  <c r="F85" i="30"/>
  <c r="D18" i="30"/>
  <c r="E18" i="30" s="1"/>
  <c r="I18" i="30" s="1"/>
  <c r="B20" i="30"/>
  <c r="C20" i="30"/>
  <c r="D22" i="30"/>
  <c r="E22" i="30" s="1"/>
  <c r="I22" i="30" s="1"/>
  <c r="B24" i="30"/>
  <c r="D26" i="30"/>
  <c r="E26" i="30" s="1"/>
  <c r="I26" i="30" s="1"/>
  <c r="I27" i="30" s="1"/>
  <c r="F42" i="30"/>
  <c r="D17" i="30"/>
  <c r="E17" i="30" s="1"/>
  <c r="I17" i="30" s="1"/>
  <c r="F40" i="30"/>
  <c r="B17" i="30"/>
  <c r="B21" i="30"/>
  <c r="B25" i="30"/>
  <c r="C10" i="30"/>
  <c r="B12" i="30"/>
  <c r="F77" i="30"/>
  <c r="I21" i="30"/>
  <c r="I25" i="30"/>
  <c r="E50" i="30"/>
  <c r="E52" i="30"/>
  <c r="F52" i="30" s="1"/>
  <c r="E54" i="30"/>
  <c r="F54" i="30" s="1"/>
  <c r="E56" i="30"/>
  <c r="F56" i="30" s="1"/>
  <c r="E58" i="30"/>
  <c r="F58" i="30" s="1"/>
  <c r="E63" i="30"/>
  <c r="E65" i="30"/>
  <c r="F65" i="30" s="1"/>
  <c r="E67" i="30"/>
  <c r="F67" i="30" s="1"/>
  <c r="E69" i="30"/>
  <c r="F69" i="30" s="1"/>
  <c r="E71" i="30"/>
  <c r="F71" i="30" s="1"/>
  <c r="E78" i="30"/>
  <c r="F78" i="30" s="1"/>
  <c r="E80" i="30"/>
  <c r="F80" i="30" s="1"/>
  <c r="E82" i="30"/>
  <c r="F82" i="30" s="1"/>
  <c r="E84" i="30"/>
  <c r="F84" i="30" s="1"/>
  <c r="E86" i="30"/>
  <c r="F86" i="30" s="1"/>
  <c r="E91" i="30"/>
  <c r="E93" i="30"/>
  <c r="F93" i="30" s="1"/>
  <c r="E95" i="30"/>
  <c r="F95" i="30" s="1"/>
  <c r="E97" i="30"/>
  <c r="F97" i="30" s="1"/>
  <c r="E99" i="30"/>
  <c r="F99" i="30" s="1"/>
  <c r="D19" i="30"/>
  <c r="E19" i="30" s="1"/>
  <c r="F41" i="30"/>
  <c r="E64" i="30"/>
  <c r="F64" i="30" s="1"/>
  <c r="E66" i="30"/>
  <c r="F66" i="30" s="1"/>
  <c r="E68" i="30"/>
  <c r="F68" i="30" s="1"/>
  <c r="E70" i="30"/>
  <c r="F70" i="30" s="1"/>
  <c r="E72" i="30"/>
  <c r="F72" i="30" s="1"/>
  <c r="E40" i="22" l="1"/>
  <c r="D40" i="22"/>
  <c r="E37" i="22"/>
  <c r="D37" i="22"/>
  <c r="B30" i="30"/>
  <c r="E101" i="32"/>
  <c r="F91" i="32"/>
  <c r="F30" i="32" s="1"/>
  <c r="F45" i="32"/>
  <c r="B30" i="32" s="1"/>
  <c r="F87" i="32"/>
  <c r="E30" i="32" s="1"/>
  <c r="B13" i="32"/>
  <c r="H30" i="32"/>
  <c r="E59" i="32"/>
  <c r="F49" i="32"/>
  <c r="F59" i="32"/>
  <c r="F73" i="32"/>
  <c r="E73" i="32"/>
  <c r="F63" i="32"/>
  <c r="E30" i="31"/>
  <c r="F73" i="31"/>
  <c r="E59" i="31"/>
  <c r="F49" i="31"/>
  <c r="C30" i="31" s="1"/>
  <c r="F45" i="31"/>
  <c r="B30" i="31" s="1"/>
  <c r="E101" i="31"/>
  <c r="F91" i="31"/>
  <c r="F30" i="31" s="1"/>
  <c r="E73" i="31"/>
  <c r="F63" i="31"/>
  <c r="B13" i="31"/>
  <c r="H30" i="31"/>
  <c r="F73" i="30"/>
  <c r="E101" i="30"/>
  <c r="F91" i="30"/>
  <c r="F30" i="30" s="1"/>
  <c r="F87" i="30"/>
  <c r="E30" i="30" s="1"/>
  <c r="E87" i="30"/>
  <c r="E73" i="30"/>
  <c r="F63" i="30"/>
  <c r="I19" i="30"/>
  <c r="F59" i="30"/>
  <c r="F50" i="30"/>
  <c r="E59" i="30"/>
  <c r="B13" i="30"/>
  <c r="H30" i="30"/>
  <c r="D30" i="31" l="1"/>
  <c r="D30" i="32"/>
  <c r="C30" i="32"/>
  <c r="F24" i="32"/>
  <c r="G24" i="32" s="1"/>
  <c r="F20" i="32"/>
  <c r="G20" i="32" s="1"/>
  <c r="F21" i="32"/>
  <c r="G21" i="32" s="1"/>
  <c r="F26" i="32"/>
  <c r="G26" i="32" s="1"/>
  <c r="F22" i="32"/>
  <c r="G22" i="32" s="1"/>
  <c r="F18" i="32"/>
  <c r="G18" i="32" s="1"/>
  <c r="F23" i="32"/>
  <c r="G23" i="32" s="1"/>
  <c r="F19" i="32"/>
  <c r="G19" i="32" s="1"/>
  <c r="F25" i="32"/>
  <c r="G25" i="32" s="1"/>
  <c r="F17" i="32"/>
  <c r="G17" i="32" s="1"/>
  <c r="F24" i="31"/>
  <c r="G24" i="31" s="1"/>
  <c r="F20" i="31"/>
  <c r="G20" i="31" s="1"/>
  <c r="F25" i="31"/>
  <c r="G25" i="31" s="1"/>
  <c r="F21" i="31"/>
  <c r="G21" i="31" s="1"/>
  <c r="F17" i="31"/>
  <c r="G17" i="31" s="1"/>
  <c r="F26" i="31"/>
  <c r="G26" i="31" s="1"/>
  <c r="F22" i="31"/>
  <c r="G22" i="31" s="1"/>
  <c r="F18" i="31"/>
  <c r="G18" i="31" s="1"/>
  <c r="F23" i="31"/>
  <c r="G23" i="31" s="1"/>
  <c r="F19" i="31"/>
  <c r="G19" i="31" s="1"/>
  <c r="G30" i="31"/>
  <c r="I30" i="31" s="1"/>
  <c r="D30" i="30"/>
  <c r="C30" i="30"/>
  <c r="F24" i="30"/>
  <c r="G24" i="30" s="1"/>
  <c r="F20" i="30"/>
  <c r="G20" i="30" s="1"/>
  <c r="F21" i="30"/>
  <c r="G21" i="30" s="1"/>
  <c r="F17" i="30"/>
  <c r="G17" i="30" s="1"/>
  <c r="F25" i="30"/>
  <c r="G25" i="30" s="1"/>
  <c r="F23" i="30"/>
  <c r="G23" i="30" s="1"/>
  <c r="F19" i="30"/>
  <c r="G19" i="30" s="1"/>
  <c r="F26" i="30"/>
  <c r="G26" i="30" s="1"/>
  <c r="F22" i="30"/>
  <c r="G22" i="30" s="1"/>
  <c r="F18" i="30"/>
  <c r="G18" i="30" s="1"/>
  <c r="G30" i="32" l="1"/>
  <c r="I30" i="32" s="1"/>
  <c r="G30" i="30"/>
  <c r="I30" i="30" s="1"/>
  <c r="L100" i="28" l="1"/>
  <c r="L99" i="28"/>
  <c r="L98" i="28"/>
  <c r="L97" i="28"/>
  <c r="L96" i="28"/>
  <c r="L95" i="28"/>
  <c r="L94" i="28"/>
  <c r="L93" i="28"/>
  <c r="L92" i="28"/>
  <c r="L91" i="28"/>
  <c r="L86" i="28"/>
  <c r="L85" i="28"/>
  <c r="L84" i="28"/>
  <c r="L83" i="28"/>
  <c r="L82" i="28"/>
  <c r="L81" i="28"/>
  <c r="L80" i="28"/>
  <c r="L79" i="28"/>
  <c r="L78" i="28"/>
  <c r="L77" i="28"/>
  <c r="L72" i="28"/>
  <c r="L71" i="28"/>
  <c r="L70" i="28"/>
  <c r="L69" i="28"/>
  <c r="L68" i="28"/>
  <c r="L67" i="28"/>
  <c r="L66" i="28"/>
  <c r="L65" i="28"/>
  <c r="L64" i="28"/>
  <c r="L63" i="28"/>
  <c r="L58" i="28"/>
  <c r="L57" i="28"/>
  <c r="L56" i="28"/>
  <c r="L55" i="28"/>
  <c r="L54" i="28"/>
  <c r="L53" i="28"/>
  <c r="L52" i="28"/>
  <c r="L51" i="28"/>
  <c r="L50" i="28"/>
  <c r="L49" i="28"/>
  <c r="L44" i="28"/>
  <c r="E44" i="28"/>
  <c r="E100" i="28" s="1"/>
  <c r="F100" i="28" s="1"/>
  <c r="L43" i="28"/>
  <c r="E43" i="28"/>
  <c r="E85" i="28" s="1"/>
  <c r="L42" i="28"/>
  <c r="E42" i="28"/>
  <c r="E98" i="28" s="1"/>
  <c r="L41" i="28"/>
  <c r="E41" i="28"/>
  <c r="E83" i="28" s="1"/>
  <c r="B23" i="28"/>
  <c r="L40" i="28"/>
  <c r="E40" i="28"/>
  <c r="E96" i="28" s="1"/>
  <c r="L39" i="28"/>
  <c r="E39" i="28"/>
  <c r="E81" i="28" s="1"/>
  <c r="F81" i="28" s="1"/>
  <c r="L38" i="28"/>
  <c r="E38" i="28"/>
  <c r="E94" i="28" s="1"/>
  <c r="L37" i="28"/>
  <c r="E37" i="28"/>
  <c r="E79" i="28" s="1"/>
  <c r="F79" i="28" s="1"/>
  <c r="L36" i="28"/>
  <c r="E36" i="28"/>
  <c r="E92" i="28" s="1"/>
  <c r="L35" i="28"/>
  <c r="E35" i="28"/>
  <c r="E77" i="28" s="1"/>
  <c r="H27" i="28"/>
  <c r="D8" i="28"/>
  <c r="D9" i="28" s="1"/>
  <c r="D10" i="28" s="1"/>
  <c r="C8" i="28"/>
  <c r="C9" i="28" s="1"/>
  <c r="C10" i="28" s="1"/>
  <c r="B8" i="28"/>
  <c r="B9" i="28" s="1"/>
  <c r="B10" i="28" s="1"/>
  <c r="B26" i="28" l="1"/>
  <c r="F98" i="28"/>
  <c r="F83" i="28"/>
  <c r="F85" i="28"/>
  <c r="D26" i="28"/>
  <c r="E26" i="28" s="1"/>
  <c r="I26" i="28" s="1"/>
  <c r="B22" i="28" s="1"/>
  <c r="F41" i="28"/>
  <c r="F43" i="28"/>
  <c r="D25" i="28"/>
  <c r="E25" i="28" s="1"/>
  <c r="I25" i="28" s="1"/>
  <c r="B21" i="28" s="1"/>
  <c r="F35" i="28"/>
  <c r="F37" i="28"/>
  <c r="F39" i="28"/>
  <c r="D18" i="28"/>
  <c r="E18" i="28" s="1"/>
  <c r="I18" i="28" s="1"/>
  <c r="F92" i="28"/>
  <c r="F94" i="28"/>
  <c r="F96" i="28"/>
  <c r="C19" i="28"/>
  <c r="C21" i="28"/>
  <c r="D17" i="28"/>
  <c r="E17" i="28" s="1"/>
  <c r="I17" i="28" s="1"/>
  <c r="D24" i="28"/>
  <c r="E24" i="28" s="1"/>
  <c r="I24" i="28" s="1"/>
  <c r="B20" i="28" s="1"/>
  <c r="C17" i="28"/>
  <c r="C18" i="28"/>
  <c r="C20" i="28"/>
  <c r="C22" i="28"/>
  <c r="D20" i="28"/>
  <c r="E20" i="28" s="1"/>
  <c r="I20" i="28" s="1"/>
  <c r="D22" i="28"/>
  <c r="E22" i="28" s="1"/>
  <c r="I22" i="28" s="1"/>
  <c r="B18" i="28" s="1"/>
  <c r="C23" i="28"/>
  <c r="C24" i="28"/>
  <c r="C25" i="28"/>
  <c r="C26" i="28"/>
  <c r="D19" i="28"/>
  <c r="E19" i="28" s="1"/>
  <c r="I19" i="28" s="1"/>
  <c r="D21" i="28"/>
  <c r="E21" i="28" s="1"/>
  <c r="I21" i="28" s="1"/>
  <c r="B17" i="28" s="1"/>
  <c r="D23" i="28"/>
  <c r="E23" i="28" s="1"/>
  <c r="I23" i="28" s="1"/>
  <c r="B19" i="28" s="1"/>
  <c r="F101" i="28"/>
  <c r="F77" i="28"/>
  <c r="B12" i="28"/>
  <c r="F36" i="28"/>
  <c r="F38" i="28"/>
  <c r="F40" i="28"/>
  <c r="F42" i="28"/>
  <c r="F44" i="28"/>
  <c r="E50" i="28"/>
  <c r="F50" i="28" s="1"/>
  <c r="E52" i="28"/>
  <c r="F52" i="28" s="1"/>
  <c r="E54" i="28"/>
  <c r="F54" i="28" s="1"/>
  <c r="E56" i="28"/>
  <c r="F56" i="28" s="1"/>
  <c r="E58" i="28"/>
  <c r="F58" i="28" s="1"/>
  <c r="E63" i="28"/>
  <c r="E65" i="28"/>
  <c r="F65" i="28" s="1"/>
  <c r="E67" i="28"/>
  <c r="F67" i="28" s="1"/>
  <c r="E69" i="28"/>
  <c r="F69" i="28" s="1"/>
  <c r="E71" i="28"/>
  <c r="F71" i="28" s="1"/>
  <c r="E78" i="28"/>
  <c r="F78" i="28" s="1"/>
  <c r="E80" i="28"/>
  <c r="F80" i="28" s="1"/>
  <c r="E82" i="28"/>
  <c r="F82" i="28" s="1"/>
  <c r="E84" i="28"/>
  <c r="F84" i="28" s="1"/>
  <c r="E86" i="28"/>
  <c r="F86" i="28" s="1"/>
  <c r="E91" i="28"/>
  <c r="E93" i="28"/>
  <c r="F93" i="28" s="1"/>
  <c r="E95" i="28"/>
  <c r="F95" i="28" s="1"/>
  <c r="E97" i="28"/>
  <c r="F97" i="28" s="1"/>
  <c r="E99" i="28"/>
  <c r="F99" i="28" s="1"/>
  <c r="E45" i="28"/>
  <c r="E49" i="28"/>
  <c r="E51" i="28"/>
  <c r="F51" i="28" s="1"/>
  <c r="E53" i="28"/>
  <c r="F53" i="28" s="1"/>
  <c r="E55" i="28"/>
  <c r="F55" i="28" s="1"/>
  <c r="E57" i="28"/>
  <c r="F57" i="28" s="1"/>
  <c r="E64" i="28"/>
  <c r="F64" i="28" s="1"/>
  <c r="E66" i="28"/>
  <c r="F66" i="28" s="1"/>
  <c r="E68" i="28"/>
  <c r="F68" i="28" s="1"/>
  <c r="E70" i="28"/>
  <c r="F70" i="28" s="1"/>
  <c r="E72" i="28"/>
  <c r="F72" i="28" s="1"/>
  <c r="I27" i="28" l="1"/>
  <c r="B24" i="28" s="1"/>
  <c r="E73" i="28"/>
  <c r="F63" i="28"/>
  <c r="F59" i="28"/>
  <c r="E59" i="28"/>
  <c r="F49" i="28"/>
  <c r="F87" i="28"/>
  <c r="E30" i="28" s="1"/>
  <c r="H30" i="28"/>
  <c r="B13" i="28"/>
  <c r="E87" i="28"/>
  <c r="F73" i="28"/>
  <c r="E101" i="28"/>
  <c r="F91" i="28"/>
  <c r="F30" i="28" s="1"/>
  <c r="F45" i="28"/>
  <c r="B30" i="28" s="1"/>
  <c r="B25" i="28" l="1"/>
  <c r="C30" i="28"/>
  <c r="D30" i="28"/>
  <c r="F26" i="28"/>
  <c r="G26" i="28" s="1"/>
  <c r="F24" i="28"/>
  <c r="G24" i="28" s="1"/>
  <c r="F22" i="28"/>
  <c r="G22" i="28" s="1"/>
  <c r="F20" i="28"/>
  <c r="G20" i="28" s="1"/>
  <c r="F25" i="28"/>
  <c r="G25" i="28" s="1"/>
  <c r="F23" i="28"/>
  <c r="G23" i="28" s="1"/>
  <c r="F21" i="28"/>
  <c r="G21" i="28" s="1"/>
  <c r="F19" i="28"/>
  <c r="G19" i="28" s="1"/>
  <c r="F17" i="28"/>
  <c r="G17" i="28" s="1"/>
  <c r="F18" i="28"/>
  <c r="G18" i="28" s="1"/>
  <c r="G30" i="28" l="1"/>
  <c r="I30" i="28" s="1"/>
  <c r="G14" i="22" l="1"/>
  <c r="C29" i="22" s="1"/>
  <c r="D29" i="22" s="1"/>
  <c r="G13" i="22"/>
  <c r="C28" i="22" s="1"/>
  <c r="D28" i="22" s="1"/>
  <c r="G12" i="22"/>
  <c r="C27" i="22" s="1"/>
  <c r="D27" i="22" s="1"/>
  <c r="G11" i="22"/>
  <c r="C26" i="22" s="1"/>
  <c r="D26" i="22" s="1"/>
  <c r="G10" i="22"/>
  <c r="C25" i="22" s="1"/>
  <c r="D25" i="22" s="1"/>
  <c r="G9" i="22"/>
  <c r="C24" i="22" s="1"/>
  <c r="D24" i="22" s="1"/>
  <c r="G8" i="22"/>
  <c r="C23" i="22" s="1"/>
  <c r="D23" i="22" s="1"/>
  <c r="G7" i="22"/>
  <c r="C22" i="22" s="1"/>
  <c r="D22" i="22" s="1"/>
  <c r="G6" i="22"/>
  <c r="C21" i="22" s="1"/>
  <c r="D21" i="22" s="1"/>
  <c r="G15" i="22"/>
  <c r="C30" i="22" l="1"/>
  <c r="D30" i="22" s="1"/>
  <c r="G5" i="22"/>
  <c r="C20" i="22" s="1"/>
  <c r="D20" i="22" s="1"/>
  <c r="E21" i="22" l="1"/>
  <c r="E30" i="22"/>
  <c r="E26" i="22"/>
  <c r="E20" i="22"/>
  <c r="E22" i="22"/>
  <c r="E25" i="22"/>
  <c r="E27" i="22"/>
  <c r="E29" i="22"/>
  <c r="E28" i="22"/>
  <c r="E23" i="22"/>
  <c r="E24" i="22"/>
</calcChain>
</file>

<file path=xl/sharedStrings.xml><?xml version="1.0" encoding="utf-8"?>
<sst xmlns="http://schemas.openxmlformats.org/spreadsheetml/2006/main" count="4118" uniqueCount="184">
  <si>
    <t>Expected unserved energy (MWh)</t>
  </si>
  <si>
    <t>Years</t>
  </si>
  <si>
    <t>Discount Rate</t>
  </si>
  <si>
    <t>VCR ($k)</t>
  </si>
  <si>
    <t>Capital Cost ($M)</t>
  </si>
  <si>
    <t>Year</t>
  </si>
  <si>
    <t>Scenario 1</t>
  </si>
  <si>
    <t>Scenario 2</t>
  </si>
  <si>
    <t>Scenario 3</t>
  </si>
  <si>
    <t>Scenario 4</t>
  </si>
  <si>
    <t>Scenario 5</t>
  </si>
  <si>
    <t>Residual</t>
  </si>
  <si>
    <t>Year in Service</t>
  </si>
  <si>
    <t>Y</t>
  </si>
  <si>
    <t>N</t>
  </si>
  <si>
    <t>Annualised Project Cost ($M)</t>
  </si>
  <si>
    <t>Scenario 1 
($M)</t>
  </si>
  <si>
    <t>Scenario 2
($M)</t>
  </si>
  <si>
    <t>Scenario 3
($M)</t>
  </si>
  <si>
    <t>Scenario 4
($M)</t>
  </si>
  <si>
    <t>Scenario 5
($M)</t>
  </si>
  <si>
    <t>Weighted Gross 
Market Benefits ($M)</t>
  </si>
  <si>
    <t>Net Present Value (NPV)</t>
  </si>
  <si>
    <t>NPV</t>
  </si>
  <si>
    <t>Annualised Gross Market Benefits Based on Year in Service ($M)</t>
  </si>
  <si>
    <t>Annualised Gross Market Benefits ($M)</t>
  </si>
  <si>
    <t>Annualised Net Market Benefits Based on Year 1 ($M)</t>
  </si>
  <si>
    <t>Option 1b</t>
  </si>
  <si>
    <t>Total Project Cost ($M)</t>
  </si>
  <si>
    <t>Annualised Total Project Cost ($M)</t>
  </si>
  <si>
    <t>Operational &amp; Maintenance Cost in PV ($M)</t>
  </si>
  <si>
    <t>Types of Costs</t>
  </si>
  <si>
    <t>Project Cost ($M)</t>
  </si>
  <si>
    <t>Stage 1</t>
  </si>
  <si>
    <t>Stage 2</t>
  </si>
  <si>
    <t>Stage 3</t>
  </si>
  <si>
    <t>Operational &amp; Maintenance Cost  (%)</t>
  </si>
  <si>
    <t>Net Market Benefits ($M)</t>
  </si>
  <si>
    <t>Option 3b</t>
  </si>
  <si>
    <t>Option 4b</t>
  </si>
  <si>
    <t>VCR</t>
  </si>
  <si>
    <t>Options</t>
  </si>
  <si>
    <t>Scenario
weights</t>
  </si>
  <si>
    <t>Weighted Gross 
Market Benefits</t>
  </si>
  <si>
    <t>Sensitivity</t>
  </si>
  <si>
    <t>Capital Cost</t>
  </si>
  <si>
    <t>Description</t>
  </si>
  <si>
    <t>Net market benefit ($, M)</t>
  </si>
  <si>
    <t>Under current scenario weightings</t>
  </si>
  <si>
    <t>Y1</t>
  </si>
  <si>
    <t>Y2</t>
  </si>
  <si>
    <t>Maximum Energy at risk (MWh)</t>
  </si>
  <si>
    <t>Scenario 1 - Market Benefits</t>
  </si>
  <si>
    <t>Scenario 5 - Market Benefits</t>
  </si>
  <si>
    <t>Scenario 4 - Market Benefits</t>
  </si>
  <si>
    <t>Scenario 3 - Market Benefits</t>
  </si>
  <si>
    <t>Scenario 2 - Market Benefits</t>
  </si>
  <si>
    <t>Weighted - Market Benefits</t>
  </si>
  <si>
    <t>Limitation cost 
($ '000)</t>
  </si>
  <si>
    <t>Scenario 1 - Limitation</t>
  </si>
  <si>
    <t>Scenario 2 - Limitation</t>
  </si>
  <si>
    <t>Scenario 3 - Limitation</t>
  </si>
  <si>
    <t>Scenario 4 - Limitation</t>
  </si>
  <si>
    <t>Scenario 5 - Limitation</t>
  </si>
  <si>
    <t>2013-14</t>
  </si>
  <si>
    <t>2014-15</t>
  </si>
  <si>
    <t>2015-16</t>
  </si>
  <si>
    <t>2016-17</t>
  </si>
  <si>
    <t>2017-18</t>
  </si>
  <si>
    <t>2018-19</t>
  </si>
  <si>
    <t>2019-20</t>
  </si>
  <si>
    <t>2020-21</t>
  </si>
  <si>
    <t>2021-22</t>
  </si>
  <si>
    <t>2022-23</t>
  </si>
  <si>
    <t>Existing Limitation: Includes all relevant contraints</t>
  </si>
  <si>
    <t>Maximum Load at risk (MW)</t>
  </si>
  <si>
    <t>Limitation cost 
($M)</t>
  </si>
  <si>
    <t>Limitation: Unconstrained on Ballarat-Bendigo 220 kV line and Moorabool-Ballarat No.1 220 kV line but includes all other relevant constraints</t>
  </si>
  <si>
    <t>Do Nothing: Constraints on Ballarat-Bendigo 220 kV line and Moorabool-Ballarat No.1 220 kV line only</t>
  </si>
  <si>
    <t>Option 1a:</t>
  </si>
  <si>
    <t>Option 1b:</t>
  </si>
  <si>
    <t>Option 2:</t>
  </si>
  <si>
    <t>Option 3a:</t>
  </si>
  <si>
    <t>Option 3b:</t>
  </si>
  <si>
    <t>Stage 1: Up-rate existing Ballarat-Bendigo 220 kV line to maximum operating temperature of 82 degC in 2019-20</t>
  </si>
  <si>
    <t>Stage 2: Up-rate the existing Moorabool-Ballarat 220 kV line to maximum operating temperature of 82 degC in 2019-20</t>
  </si>
  <si>
    <t>Stage 1: Install wind monitoring facility onh the Ballarat-Bendigo 220 kV line in 2015-16</t>
  </si>
  <si>
    <t>Stage 2: Up-rate existing Ballarat-Bendigo 220 kV line to maximum operating temperature of 82 degC in 2019-20</t>
  </si>
  <si>
    <t>Stage 3: Up-rate the existing Moorabool-Ballarat 220 kV line to maximum operating temperature of 82 degC in 2019-20</t>
  </si>
  <si>
    <t>Stage 2: Up-rate the existing Moorabool-Ballarat 220 kV line to maximum operating temperature of 90 degC in 2019-20</t>
  </si>
  <si>
    <t>Stage 1: Install a third Moorabool-Ballarat 220 kV line in 2017-18</t>
  </si>
  <si>
    <t>Stage 1: Install wind monitoring facility on Ballarat-Bendigo 220 kV line in 2015-16</t>
  </si>
  <si>
    <t>Option 4a:</t>
  </si>
  <si>
    <t>Stage 2: Install a third Moorabool-Ballarat 220 kV line in 2017-18</t>
  </si>
  <si>
    <t>Stage 3: Up-rate existing Ballarat-Bendigo 220 kV line to maximum operating temperature of 82 degC in 2019-20</t>
  </si>
  <si>
    <t>Stage 2: Up-rate existing Ballarat-Bendigo 220 kV line to maximum operating temperature of 90 degC in 2019-20</t>
  </si>
  <si>
    <t>Stage 3: Up-rate existing Ballarat-Bendigo 220 kV line to maximum operating temperature of 90 degC in 2019-20</t>
  </si>
  <si>
    <t>Option 5:</t>
  </si>
  <si>
    <t>Stage 1: Up-rate the existing Ballarat-Bendigo 220 kV line to maximum operating temperature of 82 degC in 2019-20</t>
  </si>
  <si>
    <t>Stage 2: Replace the existing Moorabool-Ballarat 220 kV line with a new double circuit 220 kV line in 2019-20</t>
  </si>
  <si>
    <t>Option 6:</t>
  </si>
  <si>
    <t>Stage 1: Up-rate existing Moorabool-Ballarat 220 kV line to maximum operating temperature of 82 degC in 2019-20</t>
  </si>
  <si>
    <t>Stage 2: Replace existing Ballarat-Bendigo 220 kV line with a new double circuit 220 kV line in 2020-21</t>
  </si>
  <si>
    <t>Option 7:</t>
  </si>
  <si>
    <t>Option 8:</t>
  </si>
  <si>
    <t>Ranking 
under RIT-T</t>
  </si>
  <si>
    <t>Weightings of medium 
demand scenarios reduced</t>
  </si>
  <si>
    <t>Weighting of 500 kV generation 
placement scenarios reduced</t>
  </si>
  <si>
    <t>Weightings of medium 
demand scenarios increased</t>
  </si>
  <si>
    <t>Weighting of 500 kV generation 
placement scenarios increased</t>
  </si>
  <si>
    <t>Weightings of high wind generator 
contribution to peak demand scenario reduced</t>
  </si>
  <si>
    <t>Weightings of high wind generator 
contribution to peak demand scenario increased</t>
  </si>
  <si>
    <t>Net Market 
Benefit</t>
  </si>
  <si>
    <t>This Appendix presents the detailed NPV results for the RIT-T analysis.</t>
  </si>
  <si>
    <t>Sensitivity analysis results to discount rate, capital cost, and the value of customer reliability (VCR) are presented on a scenario weighted basis.</t>
  </si>
  <si>
    <t>Unweighted scenario results are also presented, for each of the five reasonable scenarios assessed under the RIT-T, applying the base set of assumptions for discount rate, capital cost, and VCR.</t>
  </si>
  <si>
    <t>Sensitivity analysis to different scenario weights are also presented, applying the base set of assumptions for discount rate, capital cost, and VCR.</t>
  </si>
  <si>
    <t>Table 16: Gross market benefits for each credible option (NPV, $M)</t>
  </si>
  <si>
    <t>Table 17: Net market benefits for each credible option (PV, $M)</t>
  </si>
  <si>
    <t>Table 18: Net present value of net market benefits (PV, $M)</t>
  </si>
  <si>
    <t>Table 19: Net market benefits under different scenario weightings (PV, $M)</t>
  </si>
  <si>
    <t>NPV of Net Market Benefit (PV, $M) for Table 18 Calculation Purpose</t>
  </si>
  <si>
    <t>Non-network demand side management in 2014</t>
  </si>
  <si>
    <t>Establishment Cost ($k/MW)</t>
  </si>
  <si>
    <t>Availability Charge ($k/MW/year)</t>
  </si>
  <si>
    <t>Dispatch Fee ($k/MWh)</t>
  </si>
  <si>
    <t>Demand Side Management Reduction (MW)</t>
  </si>
  <si>
    <t>Stage 1: Installation of a double circuit Moorabool-Ballarat 220 kV line only</t>
  </si>
  <si>
    <t>Stage 1: Installation of a double circuit Ballarat-Bendigo 220 kV line only</t>
  </si>
  <si>
    <t>Stage 1: Installation of a new third Moorabool-Ballarat 220 kV line only</t>
  </si>
  <si>
    <t>Stage 1: Installation of wind monitoring facilities on Ballarat-Bendigo 220 kV line only</t>
  </si>
  <si>
    <r>
      <t>Appendix D</t>
    </r>
    <r>
      <rPr>
        <b/>
        <sz val="7"/>
        <color theme="3"/>
        <rFont val="Arial"/>
        <family val="2"/>
      </rPr>
      <t> </t>
    </r>
    <r>
      <rPr>
        <b/>
        <sz val="18"/>
        <color theme="3"/>
        <rFont val="Arial"/>
        <family val="2"/>
      </rPr>
      <t>- Detailed NPV analysis</t>
    </r>
  </si>
  <si>
    <t xml:space="preserve">     ~ Maximum load at risk (MW) - which is the MW load shedding required to avoid the network limitation under the highest POE demand conditions and highest impacting scenario of the presented assessment</t>
  </si>
  <si>
    <t xml:space="preserve">     ~ Maximum energy at risk (MWh) -  which is the MWh unserved energy required to avoid the network limitation under the highest POE demand conditions and highest impacting scenario of the presented assessment</t>
  </si>
  <si>
    <t>Annualised Gross Market Benefits Based on Year in Service ($ '000)</t>
  </si>
  <si>
    <t>Option 1a</t>
  </si>
  <si>
    <t>Option 2</t>
  </si>
  <si>
    <t xml:space="preserve"> Option 3a</t>
  </si>
  <si>
    <t>Option 4a</t>
  </si>
  <si>
    <t>Option 5</t>
  </si>
  <si>
    <t>Option 6</t>
  </si>
  <si>
    <t>Option 7</t>
  </si>
  <si>
    <t>Option 8</t>
  </si>
  <si>
    <t xml:space="preserve">     ~ Annualised gross market benefits ($ '000 or $M) - which is the annual benefit cost of the expected unserved energy, obtained by multiplying the benefit of the expected unserved energy by the VCR, and the change in dispatch cost from the "base case" as compared with the option of scenarios considered in the presented assessment</t>
  </si>
  <si>
    <t xml:space="preserve">     ~ Limitation cost ($ '000 or $M) - which is the cost of the sum of the expected unserved energy, obtained by multiplying the expected unserved energy by the VCR, and the change in dispatch cost from the "base case" - option of the scenarios considered in the presented assessment</t>
  </si>
  <si>
    <t>Dispatch Cost
($'000)</t>
  </si>
  <si>
    <t xml:space="preserve">     ~ Expected unserved energy (MWh) - which is the portion of the energy at risk after taking into account the probability of the limitation occurring, including the probability of demand conditions occurring and weighted across the reasonable scenarios considered in the presented assessment</t>
  </si>
  <si>
    <t xml:space="preserve">     ~ Dispatch cost ($ '000) - which is the generation rescheduling, demand management dispatch and local generation dispatch cost change compared to the base case - do nothing - option for the scenario presented in assessment</t>
  </si>
  <si>
    <t xml:space="preserve">     ~ Annualised project cost ($M) - which is the cost of the project calculated annually based on the assumed life of the asset and discount rate, this cost is used to identify the optimal time for augmentation associated with the options considered in the assessment presented</t>
  </si>
  <si>
    <t>Do Nothing option and eleven credible options assessed in this RIT-T are presented in this spreadsheet.</t>
  </si>
  <si>
    <t>Table 4: Forecast market impact under the "Do Nothing" Option</t>
  </si>
  <si>
    <t>Maximum Load at risk reduction (MW)</t>
  </si>
  <si>
    <t>Maximum Energy at risk reduction (MWh)</t>
  </si>
  <si>
    <t>Expected unserved energy reduction (MWh)</t>
  </si>
  <si>
    <t>Annualised Net Market Benefits Based ($M)</t>
  </si>
  <si>
    <t>Annualised Net Market Benefits ($M)</t>
  </si>
  <si>
    <t>Project 
Cost</t>
  </si>
  <si>
    <t>Weighted Gross
Market Benefit</t>
  </si>
  <si>
    <t>Scenario weighting</t>
  </si>
  <si>
    <t>The table presents the:</t>
  </si>
  <si>
    <t xml:space="preserve">     ~ Maximum load at risk reduction (MW) - which is the MW load shedding reduction under the highest POE demand conditions and highest impacting scenario of the presented assessment as a result of implementing the respective credible option</t>
  </si>
  <si>
    <t xml:space="preserve">     ~ Maximum energy at risk reduction (MWh) -  which is the MWh unserved energy reduction under the highest POE demand conditions and highest impacting scenario of the presented assessment as a result of implementing the respective credible option</t>
  </si>
  <si>
    <t xml:space="preserve">     ~ Expected unserved energy reduction (MWh) - which is the portion of the energy at risk reduction after taking into account the probability of the limitation occurring, including the probability of demand conditions occurring and weighted across the reasonable scenarios considered in the presented assessment as a result of implementing the respective credible option</t>
  </si>
  <si>
    <t>Option 3a</t>
  </si>
  <si>
    <t xml:space="preserve">Market impact of “do nothing” </t>
  </si>
  <si>
    <t>Market impact of the preferred option from implementation in accordance with respective stages</t>
  </si>
  <si>
    <t>2013–14</t>
  </si>
  <si>
    <t>2014–15</t>
  </si>
  <si>
    <t>2015–16</t>
  </si>
  <si>
    <t>2016–17</t>
  </si>
  <si>
    <t>2017–18</t>
  </si>
  <si>
    <t>2018–19</t>
  </si>
  <si>
    <t>2019–20</t>
  </si>
  <si>
    <t>2020–21</t>
  </si>
  <si>
    <t>2021–22</t>
  </si>
  <si>
    <t>2022–23</t>
  </si>
  <si>
    <t xml:space="preserve">Table 21: Annualised cost-benefit assessment of preferred option </t>
  </si>
  <si>
    <t xml:space="preserve">Limitation cost ($ million) </t>
  </si>
  <si>
    <t>Gross market benefit 
($ million)</t>
  </si>
  <si>
    <t>Annualised net market benefit ($ million)</t>
  </si>
  <si>
    <t>Annualised cost 
($ million)</t>
  </si>
  <si>
    <t xml:space="preserve">     ~ Year in Service - which is the year when practical completion of the respective stages in a credible option. Completion of all stages ="Y", completion of stage 1 = "Y1" and completion of stages 1 &amp; 2 = "Y2"</t>
  </si>
  <si>
    <t xml:space="preserve">     ~ Annualised net market benefits ($ '000 or $M) - which is the annual benefit cost of the expected unserved energy, obtained by multiplying the benefit of the expected unserved energy by the VCR and minus the annualised project cost, and the change in dispatch cost from the "base case" as compared with the option of scenarios considered in the presented assessment</t>
  </si>
  <si>
    <t xml:space="preserve">     ~ Annualised gross market benefits based on year in service ($ '000 or $M) - which is the annual benefit cost of the expected unserved energy, obtained by multiplying the benefit of the expected unserved energy by the VCR, and the change in dispatch cost from the "base case" as compared with the option of scenarios considered in the presented assessment in the corresponding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</si>
</sst>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8" formatCode="&quot;$&quot;#,##0.00;[Red]\-&quot;$&quot;#,##0.00"/>
    <numFmt numFmtId="44" formatCode="_-&quot;$&quot;* #,##0.00_-;\-&quot;$&quot;* #,##0.00_-;_-&quot;$&quot;* &quot;-&quot;??_-;_-@_-"/>
    <numFmt numFmtId="43" formatCode="_-* #,##0.00_-;\-* #,##0.00_-;_-* &quot;-&quot;??_-;_-@_-"/>
    <numFmt numFmtId="164" formatCode="_-* #,##0_-;\-* #,##0_-;_-* &quot;-&quot;??_-;_-@_-"/>
    <numFmt numFmtId="165" formatCode="0.0"/>
    <numFmt numFmtId="166" formatCode="&quot;$&quot;#,##0.0;[Red]\-&quot;$&quot;#,##0.0"/>
    <numFmt numFmtId="167" formatCode="#,##0.0"/>
    <numFmt numFmtId="168" formatCode="_-* #,##0.0_-;\-* #,##0.0_-;_-* &quot;-&quot;??_-;_-@_-"/>
    <numFmt numFmtId="169" formatCode="0.0%"/>
  </numFmts>
  <fonts count="10" x14ac:knownFonts="1">
    <font>
      <sz val="11"/>
      <color theme="1"/>
      <name val="Calibri"/>
      <family val="2"/>
      <scheme val="minor"/>
    </font>
    <font>
      <sz val="11"/>
      <color theme="1"/>
      <name val="Calibri"/>
      <family val="2"/>
      <scheme val="minor"/>
    </font>
    <font>
      <sz val="10"/>
      <color theme="1"/>
      <name val="Arial"/>
      <family val="2"/>
    </font>
    <font>
      <b/>
      <sz val="12"/>
      <color theme="1"/>
      <name val="Calibri"/>
      <family val="2"/>
      <scheme val="minor"/>
    </font>
    <font>
      <b/>
      <sz val="11"/>
      <color theme="1"/>
      <name val="Calibri"/>
      <family val="2"/>
      <scheme val="minor"/>
    </font>
    <font>
      <sz val="11"/>
      <name val="Calibri"/>
      <family val="2"/>
      <scheme val="minor"/>
    </font>
    <font>
      <b/>
      <sz val="18"/>
      <color theme="3"/>
      <name val="Arial"/>
      <family val="2"/>
    </font>
    <font>
      <b/>
      <sz val="7"/>
      <color theme="3"/>
      <name val="Arial"/>
      <family val="2"/>
    </font>
    <font>
      <sz val="9"/>
      <color theme="1"/>
      <name val="Arial"/>
      <family val="2"/>
    </font>
    <font>
      <sz val="9"/>
      <color rgb="FF000000"/>
      <name val="Arial"/>
      <family val="2"/>
    </font>
  </fonts>
  <fills count="5">
    <fill>
      <patternFill patternType="none"/>
    </fill>
    <fill>
      <patternFill patternType="gray125"/>
    </fill>
    <fill>
      <patternFill patternType="solid">
        <fgColor theme="8" tint="0.59999389629810485"/>
        <bgColor indexed="64"/>
      </patternFill>
    </fill>
    <fill>
      <patternFill patternType="solid">
        <fgColor rgb="FFF2F2F2"/>
        <bgColor indexed="64"/>
      </patternFill>
    </fill>
    <fill>
      <patternFill patternType="solid">
        <fgColor rgb="FFD9D9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8">
    <xf numFmtId="0" fontId="0" fillId="0" borderId="0"/>
    <xf numFmtId="0" fontId="2" fillId="0" borderId="0"/>
    <xf numFmtId="0" fontId="1" fillId="0" borderId="0"/>
    <xf numFmtId="43" fontId="1" fillId="0" borderId="0" applyFont="0" applyFill="0" applyBorder="0" applyAlignment="0" applyProtection="0"/>
    <xf numFmtId="9"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9" fontId="1" fillId="0" borderId="0" applyFont="0" applyFill="0" applyBorder="0" applyAlignment="0" applyProtection="0"/>
  </cellStyleXfs>
  <cellXfs count="414">
    <xf numFmtId="0" fontId="0" fillId="0" borderId="0" xfId="0"/>
    <xf numFmtId="3" fontId="0" fillId="0" borderId="1" xfId="2" applyNumberFormat="1" applyFont="1" applyFill="1" applyBorder="1" applyAlignment="1">
      <alignment horizontal="center" vertical="center"/>
    </xf>
    <xf numFmtId="164" fontId="0" fillId="0" borderId="1" xfId="3" applyNumberFormat="1" applyFont="1" applyFill="1" applyBorder="1" applyAlignment="1">
      <alignment horizontal="center" vertical="center"/>
    </xf>
    <xf numFmtId="3" fontId="0" fillId="0" borderId="1" xfId="0" applyNumberFormat="1" applyBorder="1" applyAlignment="1">
      <alignment horizontal="center"/>
    </xf>
    <xf numFmtId="0" fontId="0" fillId="0" borderId="1" xfId="0" applyBorder="1" applyAlignment="1">
      <alignment horizontal="center" vertical="center"/>
    </xf>
    <xf numFmtId="167" fontId="1" fillId="0" borderId="1" xfId="2" applyNumberFormat="1" applyFont="1" applyFill="1" applyBorder="1" applyAlignment="1">
      <alignment horizontal="center"/>
    </xf>
    <xf numFmtId="0" fontId="0" fillId="0" borderId="6" xfId="0" applyBorder="1"/>
    <xf numFmtId="0" fontId="0" fillId="0" borderId="8" xfId="0" applyBorder="1"/>
    <xf numFmtId="0" fontId="4" fillId="0" borderId="0" xfId="0" applyFont="1"/>
    <xf numFmtId="0" fontId="0" fillId="2" borderId="6" xfId="0" applyFill="1" applyBorder="1" applyAlignment="1">
      <alignment horizontal="center"/>
    </xf>
    <xf numFmtId="9" fontId="0" fillId="2" borderId="7" xfId="0" applyNumberFormat="1" applyFill="1" applyBorder="1" applyAlignment="1">
      <alignment horizontal="center"/>
    </xf>
    <xf numFmtId="0" fontId="0" fillId="2" borderId="7" xfId="0" applyFill="1" applyBorder="1" applyAlignment="1">
      <alignment horizontal="center"/>
    </xf>
    <xf numFmtId="9" fontId="0" fillId="2" borderId="8" xfId="0" applyNumberFormat="1" applyFill="1" applyBorder="1" applyAlignment="1">
      <alignment horizontal="center"/>
    </xf>
    <xf numFmtId="166" fontId="0" fillId="0" borderId="5" xfId="0" applyNumberFormat="1" applyBorder="1" applyAlignment="1">
      <alignment horizontal="center"/>
    </xf>
    <xf numFmtId="0" fontId="0" fillId="0" borderId="0" xfId="0" applyAlignment="1">
      <alignment horizontal="center" vertical="center"/>
    </xf>
    <xf numFmtId="0" fontId="0" fillId="0" borderId="1" xfId="0" applyBorder="1" applyAlignment="1">
      <alignment horizontal="left"/>
    </xf>
    <xf numFmtId="0" fontId="0" fillId="2" borderId="1" xfId="0" applyFill="1" applyBorder="1" applyAlignment="1">
      <alignment horizontal="center" vertical="center"/>
    </xf>
    <xf numFmtId="9" fontId="0" fillId="2" borderId="1" xfId="7" applyFont="1" applyFill="1" applyBorder="1" applyAlignment="1">
      <alignment horizontal="center" vertical="center"/>
    </xf>
    <xf numFmtId="165" fontId="0" fillId="0" borderId="1" xfId="0" applyNumberFormat="1" applyBorder="1" applyAlignment="1">
      <alignment horizontal="center" vertical="center"/>
    </xf>
    <xf numFmtId="165" fontId="0" fillId="0" borderId="6" xfId="0" applyNumberFormat="1" applyBorder="1" applyAlignment="1">
      <alignment horizontal="center" vertical="center"/>
    </xf>
    <xf numFmtId="166" fontId="0" fillId="0" borderId="8" xfId="0" applyNumberFormat="1" applyBorder="1" applyAlignment="1">
      <alignment horizontal="center" vertical="center"/>
    </xf>
    <xf numFmtId="165" fontId="0" fillId="0" borderId="1" xfId="0" applyNumberFormat="1" applyBorder="1" applyAlignment="1">
      <alignment horizontal="center"/>
    </xf>
    <xf numFmtId="0" fontId="0" fillId="0" borderId="1" xfId="0" applyFill="1" applyBorder="1" applyAlignment="1">
      <alignment horizontal="center" vertical="center"/>
    </xf>
    <xf numFmtId="0" fontId="0" fillId="0" borderId="0" xfId="0" applyBorder="1"/>
    <xf numFmtId="0" fontId="0" fillId="0" borderId="0" xfId="0"/>
    <xf numFmtId="0" fontId="0" fillId="0" borderId="1" xfId="0" applyBorder="1" applyAlignment="1">
      <alignment wrapText="1"/>
    </xf>
    <xf numFmtId="0" fontId="0" fillId="0" borderId="1" xfId="0" applyBorder="1" applyAlignment="1">
      <alignment horizontal="center"/>
    </xf>
    <xf numFmtId="8" fontId="0" fillId="0" borderId="0" xfId="0" applyNumberFormat="1" applyAlignment="1">
      <alignment horizontal="center" vertical="center"/>
    </xf>
    <xf numFmtId="9" fontId="4" fillId="0" borderId="1" xfId="0" applyNumberFormat="1" applyFont="1" applyBorder="1" applyAlignment="1">
      <alignment horizontal="center" vertical="center"/>
    </xf>
    <xf numFmtId="0" fontId="0" fillId="0" borderId="0" xfId="0"/>
    <xf numFmtId="0" fontId="0" fillId="0" borderId="0" xfId="0"/>
    <xf numFmtId="9" fontId="0" fillId="0" borderId="1" xfId="7" applyFont="1" applyFill="1" applyBorder="1" applyAlignment="1">
      <alignment horizontal="center" vertical="center"/>
    </xf>
    <xf numFmtId="165" fontId="0" fillId="0" borderId="1" xfId="0" applyNumberFormat="1" applyFill="1" applyBorder="1" applyAlignment="1">
      <alignment horizontal="center" vertical="center"/>
    </xf>
    <xf numFmtId="168" fontId="1" fillId="0" borderId="0" xfId="3" applyNumberFormat="1" applyFont="1" applyFill="1" applyBorder="1" applyAlignment="1">
      <alignment horizontal="center" vertical="center"/>
    </xf>
    <xf numFmtId="0" fontId="4" fillId="0" borderId="1" xfId="0" applyFont="1" applyBorder="1" applyAlignment="1">
      <alignment horizontal="center" vertical="center"/>
    </xf>
    <xf numFmtId="0" fontId="4" fillId="0" borderId="0" xfId="2" applyFont="1" applyFill="1" applyBorder="1" applyAlignment="1">
      <alignment horizontal="center" vertical="center" wrapText="1"/>
    </xf>
    <xf numFmtId="3" fontId="1" fillId="0" borderId="0" xfId="2" applyNumberFormat="1" applyFont="1" applyFill="1" applyBorder="1" applyAlignment="1">
      <alignment horizontal="center" vertical="center"/>
    </xf>
    <xf numFmtId="0" fontId="1" fillId="0" borderId="0" xfId="2" applyFont="1" applyFill="1" applyBorder="1" applyAlignment="1">
      <alignment horizontal="center" vertical="center" wrapText="1"/>
    </xf>
    <xf numFmtId="0" fontId="0" fillId="0" borderId="0" xfId="2" applyFont="1" applyFill="1" applyBorder="1" applyAlignment="1">
      <alignment horizontal="center" vertical="center" wrapText="1"/>
    </xf>
    <xf numFmtId="0" fontId="0" fillId="0" borderId="0" xfId="0" applyBorder="1" applyAlignment="1">
      <alignment horizontal="center" vertical="center"/>
    </xf>
    <xf numFmtId="3" fontId="1" fillId="0" borderId="1" xfId="2" applyNumberFormat="1" applyFont="1" applyFill="1" applyBorder="1" applyAlignment="1">
      <alignment horizontal="center" vertical="center"/>
    </xf>
    <xf numFmtId="167" fontId="1" fillId="0" borderId="1" xfId="2" applyNumberFormat="1" applyFont="1" applyFill="1" applyBorder="1" applyAlignment="1">
      <alignment horizontal="center" vertical="center"/>
    </xf>
    <xf numFmtId="3" fontId="0" fillId="2" borderId="1" xfId="2" applyNumberFormat="1" applyFont="1" applyFill="1" applyBorder="1" applyAlignment="1">
      <alignment horizontal="center" vertical="center"/>
    </xf>
    <xf numFmtId="167" fontId="1" fillId="0" borderId="0" xfId="2" applyNumberFormat="1" applyFont="1" applyFill="1" applyBorder="1" applyAlignment="1">
      <alignment horizontal="center" vertical="center"/>
    </xf>
    <xf numFmtId="1" fontId="1" fillId="0" borderId="0" xfId="2" applyNumberFormat="1" applyFont="1" applyFill="1" applyBorder="1" applyAlignment="1">
      <alignment horizontal="center" vertical="center"/>
    </xf>
    <xf numFmtId="164" fontId="1" fillId="0" borderId="0" xfId="3" applyNumberFormat="1" applyFont="1" applyFill="1" applyBorder="1" applyAlignment="1">
      <alignment horizontal="center" vertical="center"/>
    </xf>
    <xf numFmtId="3" fontId="1" fillId="2" borderId="1" xfId="2" applyNumberFormat="1" applyFont="1" applyFill="1" applyBorder="1" applyAlignment="1">
      <alignment horizontal="center" vertical="center"/>
    </xf>
    <xf numFmtId="166" fontId="0" fillId="0" borderId="0" xfId="0" applyNumberFormat="1" applyBorder="1" applyAlignment="1">
      <alignment horizontal="center" vertical="center"/>
    </xf>
    <xf numFmtId="166" fontId="0" fillId="0" borderId="1" xfId="0" applyNumberFormat="1" applyBorder="1" applyAlignment="1">
      <alignment horizontal="center" vertical="center"/>
    </xf>
    <xf numFmtId="166" fontId="5" fillId="0" borderId="1" xfId="0" applyNumberFormat="1" applyFont="1" applyFill="1" applyBorder="1" applyAlignment="1">
      <alignment horizontal="center" vertical="center"/>
    </xf>
    <xf numFmtId="0" fontId="1" fillId="0" borderId="1" xfId="2" applyFont="1" applyFill="1" applyBorder="1" applyAlignment="1">
      <alignment horizontal="center" vertical="center" wrapText="1"/>
    </xf>
    <xf numFmtId="0" fontId="0" fillId="0" borderId="1" xfId="2" applyFont="1" applyFill="1" applyBorder="1" applyAlignment="1">
      <alignment horizontal="center" vertical="center" wrapText="1"/>
    </xf>
    <xf numFmtId="3" fontId="0" fillId="0" borderId="1" xfId="0" applyNumberFormat="1" applyBorder="1" applyAlignment="1">
      <alignment horizontal="center" vertical="center"/>
    </xf>
    <xf numFmtId="164" fontId="0" fillId="0" borderId="0" xfId="0" applyNumberFormat="1" applyAlignment="1">
      <alignment horizontal="center" vertical="center"/>
    </xf>
    <xf numFmtId="164" fontId="0" fillId="0" borderId="0" xfId="0" applyNumberFormat="1" applyBorder="1" applyAlignment="1">
      <alignment horizontal="center" vertical="center"/>
    </xf>
    <xf numFmtId="0" fontId="0" fillId="0" borderId="0" xfId="0" applyAlignment="1">
      <alignment horizontal="left" vertical="center"/>
    </xf>
    <xf numFmtId="0" fontId="0" fillId="0" borderId="0" xfId="0" applyBorder="1" applyAlignment="1">
      <alignment horizontal="left" vertical="center"/>
    </xf>
    <xf numFmtId="0" fontId="0" fillId="0" borderId="0" xfId="0" applyBorder="1" applyAlignment="1">
      <alignment horizontal="right" vertical="center"/>
    </xf>
    <xf numFmtId="3" fontId="1" fillId="2" borderId="6" xfId="2" applyNumberFormat="1" applyFont="1" applyFill="1" applyBorder="1" applyAlignment="1">
      <alignment horizontal="center" vertical="center"/>
    </xf>
    <xf numFmtId="167" fontId="1" fillId="0" borderId="6" xfId="2" applyNumberFormat="1" applyFont="1" applyFill="1" applyBorder="1" applyAlignment="1">
      <alignment horizontal="center" vertical="center"/>
    </xf>
    <xf numFmtId="0" fontId="0" fillId="0" borderId="5" xfId="0" applyBorder="1" applyAlignment="1">
      <alignment horizontal="center" vertical="center"/>
    </xf>
    <xf numFmtId="166" fontId="0" fillId="0" borderId="5" xfId="0" applyNumberFormat="1" applyBorder="1" applyAlignment="1">
      <alignment horizontal="center" vertical="center"/>
    </xf>
    <xf numFmtId="6" fontId="0" fillId="0" borderId="5" xfId="0" applyNumberFormat="1" applyBorder="1" applyAlignment="1">
      <alignment horizontal="center" vertical="center"/>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6" xfId="0" applyFont="1" applyBorder="1"/>
    <xf numFmtId="0" fontId="0" fillId="0" borderId="7" xfId="0" applyFont="1" applyBorder="1"/>
    <xf numFmtId="0" fontId="0" fillId="0" borderId="8" xfId="0" applyFont="1" applyBorder="1"/>
    <xf numFmtId="0" fontId="0" fillId="0" borderId="1" xfId="0" applyFont="1" applyBorder="1" applyAlignment="1">
      <alignment horizontal="left"/>
    </xf>
    <xf numFmtId="0" fontId="0" fillId="0" borderId="1" xfId="0" applyFont="1" applyBorder="1" applyAlignment="1">
      <alignment horizontal="center"/>
    </xf>
    <xf numFmtId="165" fontId="0" fillId="0" borderId="0" xfId="0" applyNumberFormat="1" applyFill="1" applyBorder="1" applyAlignment="1">
      <alignment horizontal="center" vertical="center"/>
    </xf>
    <xf numFmtId="0" fontId="0" fillId="0" borderId="0" xfId="0" applyFont="1" applyBorder="1" applyAlignment="1">
      <alignment horizontal="center"/>
    </xf>
    <xf numFmtId="1" fontId="0" fillId="0" borderId="1" xfId="2" applyNumberFormat="1" applyFont="1" applyFill="1" applyBorder="1" applyAlignment="1">
      <alignment horizontal="center" vertical="center"/>
    </xf>
    <xf numFmtId="0" fontId="0" fillId="0" borderId="0" xfId="0"/>
    <xf numFmtId="164" fontId="0" fillId="0" borderId="1" xfId="3" applyNumberFormat="1" applyFont="1" applyFill="1" applyBorder="1" applyAlignment="1">
      <alignment horizontal="center" vertical="center"/>
    </xf>
    <xf numFmtId="0" fontId="0" fillId="0" borderId="1" xfId="0" applyBorder="1" applyAlignment="1">
      <alignment horizontal="center" vertical="center"/>
    </xf>
    <xf numFmtId="0" fontId="0" fillId="0" borderId="6" xfId="0" applyBorder="1"/>
    <xf numFmtId="0" fontId="0" fillId="0" borderId="8" xfId="0" applyBorder="1"/>
    <xf numFmtId="0" fontId="4" fillId="0" borderId="0" xfId="0" applyFont="1"/>
    <xf numFmtId="0" fontId="0" fillId="2" borderId="6" xfId="0" applyFill="1" applyBorder="1" applyAlignment="1">
      <alignment horizontal="center"/>
    </xf>
    <xf numFmtId="9" fontId="0" fillId="2" borderId="7" xfId="0" applyNumberFormat="1" applyFill="1" applyBorder="1" applyAlignment="1">
      <alignment horizontal="center"/>
    </xf>
    <xf numFmtId="0" fontId="0" fillId="2" borderId="7" xfId="0" applyFill="1" applyBorder="1" applyAlignment="1">
      <alignment horizontal="center"/>
    </xf>
    <xf numFmtId="9" fontId="0" fillId="2" borderId="8" xfId="0" applyNumberFormat="1" applyFill="1" applyBorder="1" applyAlignment="1">
      <alignment horizontal="center"/>
    </xf>
    <xf numFmtId="0" fontId="0" fillId="0" borderId="0" xfId="0" applyAlignment="1">
      <alignment horizontal="center" vertical="center"/>
    </xf>
    <xf numFmtId="0" fontId="0" fillId="0" borderId="1" xfId="0" applyBorder="1" applyAlignment="1">
      <alignment horizontal="left"/>
    </xf>
    <xf numFmtId="0" fontId="0" fillId="2" borderId="1" xfId="0" applyFill="1" applyBorder="1" applyAlignment="1">
      <alignment horizontal="center" vertical="center"/>
    </xf>
    <xf numFmtId="9" fontId="0" fillId="2" borderId="1" xfId="7" applyFont="1" applyFill="1" applyBorder="1" applyAlignment="1">
      <alignment horizontal="center" vertical="center"/>
    </xf>
    <xf numFmtId="165" fontId="0" fillId="0" borderId="1" xfId="0" applyNumberFormat="1" applyBorder="1" applyAlignment="1">
      <alignment horizontal="center" vertical="center"/>
    </xf>
    <xf numFmtId="165" fontId="0" fillId="0" borderId="6" xfId="0" applyNumberFormat="1" applyBorder="1" applyAlignment="1">
      <alignment horizontal="center" vertical="center"/>
    </xf>
    <xf numFmtId="166" fontId="0" fillId="0" borderId="8" xfId="0" applyNumberFormat="1" applyBorder="1" applyAlignment="1">
      <alignment horizontal="center" vertical="center"/>
    </xf>
    <xf numFmtId="0" fontId="0" fillId="0" borderId="1" xfId="0" applyFill="1" applyBorder="1" applyAlignment="1">
      <alignment horizontal="center" vertical="center"/>
    </xf>
    <xf numFmtId="0" fontId="0" fillId="0" borderId="0" xfId="0" applyBorder="1"/>
    <xf numFmtId="8" fontId="0" fillId="0" borderId="0" xfId="0" applyNumberFormat="1" applyAlignment="1">
      <alignment horizontal="center" vertical="center"/>
    </xf>
    <xf numFmtId="0" fontId="0" fillId="0" borderId="0" xfId="0"/>
    <xf numFmtId="3" fontId="0" fillId="0" borderId="1" xfId="2" applyNumberFormat="1" applyFont="1" applyFill="1" applyBorder="1" applyAlignment="1">
      <alignment horizontal="center" vertical="center"/>
    </xf>
    <xf numFmtId="164" fontId="0" fillId="0" borderId="1" xfId="3" applyNumberFormat="1" applyFont="1" applyFill="1" applyBorder="1" applyAlignment="1">
      <alignment horizontal="center" vertical="center"/>
    </xf>
    <xf numFmtId="0" fontId="0" fillId="0" borderId="1" xfId="0" applyBorder="1" applyAlignment="1">
      <alignment horizontal="center" vertical="center"/>
    </xf>
    <xf numFmtId="0" fontId="0" fillId="0" borderId="6" xfId="0" applyBorder="1"/>
    <xf numFmtId="0" fontId="0" fillId="0" borderId="8" xfId="0" applyBorder="1"/>
    <xf numFmtId="0" fontId="4" fillId="0" borderId="0" xfId="0" applyFont="1"/>
    <xf numFmtId="0" fontId="0" fillId="2" borderId="6" xfId="0" applyFill="1" applyBorder="1" applyAlignment="1">
      <alignment horizontal="center"/>
    </xf>
    <xf numFmtId="9" fontId="0" fillId="2" borderId="7" xfId="0" applyNumberFormat="1" applyFill="1" applyBorder="1" applyAlignment="1">
      <alignment horizontal="center"/>
    </xf>
    <xf numFmtId="0" fontId="0" fillId="2" borderId="7" xfId="0" applyFill="1" applyBorder="1" applyAlignment="1">
      <alignment horizontal="center"/>
    </xf>
    <xf numFmtId="9" fontId="0" fillId="2" borderId="8" xfId="0" applyNumberFormat="1" applyFill="1" applyBorder="1" applyAlignment="1">
      <alignment horizontal="center"/>
    </xf>
    <xf numFmtId="0" fontId="0" fillId="0" borderId="0" xfId="0" applyAlignment="1">
      <alignment horizontal="center" vertical="center"/>
    </xf>
    <xf numFmtId="0" fontId="0" fillId="0" borderId="1" xfId="0" applyBorder="1" applyAlignment="1">
      <alignment horizontal="left"/>
    </xf>
    <xf numFmtId="0" fontId="0" fillId="2" borderId="1" xfId="0" applyFill="1" applyBorder="1" applyAlignment="1">
      <alignment horizontal="center" vertical="center"/>
    </xf>
    <xf numFmtId="9" fontId="0" fillId="2" borderId="1" xfId="7" applyFont="1" applyFill="1" applyBorder="1" applyAlignment="1">
      <alignment horizontal="center" vertical="center"/>
    </xf>
    <xf numFmtId="165" fontId="0" fillId="0" borderId="1" xfId="0" applyNumberFormat="1" applyBorder="1" applyAlignment="1">
      <alignment horizontal="center" vertical="center"/>
    </xf>
    <xf numFmtId="165" fontId="0" fillId="0" borderId="6" xfId="0" applyNumberFormat="1" applyBorder="1" applyAlignment="1">
      <alignment horizontal="center" vertical="center"/>
    </xf>
    <xf numFmtId="166" fontId="0" fillId="0" borderId="8" xfId="0" applyNumberFormat="1" applyBorder="1" applyAlignment="1">
      <alignment horizontal="center" vertical="center"/>
    </xf>
    <xf numFmtId="0" fontId="0" fillId="0" borderId="1" xfId="0" applyFill="1" applyBorder="1" applyAlignment="1">
      <alignment horizontal="center" vertical="center"/>
    </xf>
    <xf numFmtId="0" fontId="0" fillId="0" borderId="0" xfId="0" applyBorder="1"/>
    <xf numFmtId="8" fontId="0" fillId="0" borderId="0" xfId="0" applyNumberFormat="1" applyAlignment="1">
      <alignment horizontal="center" vertical="center"/>
    </xf>
    <xf numFmtId="9" fontId="0" fillId="0" borderId="0" xfId="7" applyFont="1" applyFill="1" applyBorder="1" applyAlignment="1">
      <alignment horizontal="center" vertical="center"/>
    </xf>
    <xf numFmtId="0" fontId="0" fillId="0" borderId="0" xfId="0" applyFill="1" applyBorder="1" applyAlignment="1">
      <alignment horizontal="center" vertical="center"/>
    </xf>
    <xf numFmtId="0" fontId="0" fillId="0" borderId="0" xfId="0"/>
    <xf numFmtId="3" fontId="0" fillId="0" borderId="1" xfId="2" applyNumberFormat="1" applyFont="1" applyFill="1" applyBorder="1" applyAlignment="1">
      <alignment horizontal="center" vertical="center"/>
    </xf>
    <xf numFmtId="0" fontId="4" fillId="0" borderId="0" xfId="0" applyFont="1"/>
    <xf numFmtId="0" fontId="0" fillId="2" borderId="6" xfId="0" applyFill="1" applyBorder="1" applyAlignment="1">
      <alignment horizontal="center"/>
    </xf>
    <xf numFmtId="9" fontId="0" fillId="2" borderId="7" xfId="0" applyNumberFormat="1" applyFill="1" applyBorder="1" applyAlignment="1">
      <alignment horizontal="center"/>
    </xf>
    <xf numFmtId="0" fontId="0" fillId="2" borderId="7" xfId="0" applyFill="1" applyBorder="1" applyAlignment="1">
      <alignment horizontal="center"/>
    </xf>
    <xf numFmtId="9" fontId="0" fillId="2" borderId="8" xfId="0" applyNumberFormat="1" applyFill="1" applyBorder="1" applyAlignment="1">
      <alignment horizontal="center"/>
    </xf>
    <xf numFmtId="0" fontId="0" fillId="0" borderId="0" xfId="0" applyAlignment="1">
      <alignment horizontal="center" vertical="center"/>
    </xf>
    <xf numFmtId="0" fontId="0" fillId="0" borderId="0" xfId="0" applyBorder="1"/>
    <xf numFmtId="0" fontId="0" fillId="0" borderId="0" xfId="0"/>
    <xf numFmtId="3" fontId="0" fillId="0" borderId="1" xfId="2" applyNumberFormat="1" applyFont="1" applyFill="1" applyBorder="1" applyAlignment="1">
      <alignment horizontal="center" vertical="center"/>
    </xf>
    <xf numFmtId="0" fontId="4" fillId="0" borderId="0" xfId="0" applyFont="1"/>
    <xf numFmtId="0" fontId="0" fillId="2" borderId="6" xfId="0" applyFill="1" applyBorder="1" applyAlignment="1">
      <alignment horizontal="center"/>
    </xf>
    <xf numFmtId="9" fontId="0" fillId="2" borderId="7" xfId="0" applyNumberFormat="1" applyFill="1" applyBorder="1" applyAlignment="1">
      <alignment horizontal="center"/>
    </xf>
    <xf numFmtId="0" fontId="0" fillId="2" borderId="7" xfId="0" applyFill="1" applyBorder="1" applyAlignment="1">
      <alignment horizontal="center"/>
    </xf>
    <xf numFmtId="9" fontId="0" fillId="2" borderId="8" xfId="0" applyNumberFormat="1" applyFill="1" applyBorder="1" applyAlignment="1">
      <alignment horizontal="center"/>
    </xf>
    <xf numFmtId="0" fontId="0" fillId="0" borderId="0" xfId="0" applyAlignment="1">
      <alignment horizontal="center" vertical="center"/>
    </xf>
    <xf numFmtId="0" fontId="0" fillId="0" borderId="0" xfId="0" applyBorder="1"/>
    <xf numFmtId="0" fontId="0" fillId="0" borderId="0" xfId="0"/>
    <xf numFmtId="3" fontId="0" fillId="0" borderId="1" xfId="2" applyNumberFormat="1" applyFont="1" applyFill="1" applyBorder="1" applyAlignment="1">
      <alignment horizontal="center" vertical="center"/>
    </xf>
    <xf numFmtId="164" fontId="0" fillId="0" borderId="1" xfId="3" applyNumberFormat="1" applyFont="1" applyFill="1" applyBorder="1" applyAlignment="1">
      <alignment horizontal="center" vertical="center"/>
    </xf>
    <xf numFmtId="0" fontId="0" fillId="0" borderId="1" xfId="0" applyBorder="1" applyAlignment="1">
      <alignment horizontal="center" vertical="center"/>
    </xf>
    <xf numFmtId="0" fontId="0" fillId="0" borderId="6" xfId="0" applyBorder="1"/>
    <xf numFmtId="0" fontId="0" fillId="0" borderId="8" xfId="0" applyBorder="1"/>
    <xf numFmtId="0" fontId="4" fillId="0" borderId="0" xfId="0" applyFont="1"/>
    <xf numFmtId="0" fontId="0" fillId="2" borderId="6" xfId="0" applyFill="1" applyBorder="1" applyAlignment="1">
      <alignment horizontal="center"/>
    </xf>
    <xf numFmtId="9" fontId="0" fillId="2" borderId="7" xfId="0" applyNumberFormat="1" applyFill="1" applyBorder="1" applyAlignment="1">
      <alignment horizontal="center"/>
    </xf>
    <xf numFmtId="0" fontId="0" fillId="2" borderId="7" xfId="0" applyFill="1" applyBorder="1" applyAlignment="1">
      <alignment horizontal="center"/>
    </xf>
    <xf numFmtId="9" fontId="0" fillId="2" borderId="8" xfId="0" applyNumberFormat="1" applyFill="1" applyBorder="1" applyAlignment="1">
      <alignment horizontal="center"/>
    </xf>
    <xf numFmtId="0" fontId="0" fillId="0" borderId="0" xfId="0" applyAlignment="1">
      <alignment horizontal="center" vertical="center"/>
    </xf>
    <xf numFmtId="0" fontId="0" fillId="0" borderId="1" xfId="0" applyBorder="1" applyAlignment="1">
      <alignment horizontal="left"/>
    </xf>
    <xf numFmtId="0" fontId="0" fillId="2" borderId="1" xfId="0" applyFill="1" applyBorder="1" applyAlignment="1">
      <alignment horizontal="center" vertical="center"/>
    </xf>
    <xf numFmtId="9" fontId="0" fillId="2" borderId="1" xfId="7" applyFont="1" applyFill="1" applyBorder="1" applyAlignment="1">
      <alignment horizontal="center" vertical="center"/>
    </xf>
    <xf numFmtId="165" fontId="0" fillId="0" borderId="1" xfId="0" applyNumberFormat="1" applyBorder="1" applyAlignment="1">
      <alignment horizontal="center" vertical="center"/>
    </xf>
    <xf numFmtId="165" fontId="0" fillId="0" borderId="6" xfId="0" applyNumberFormat="1" applyBorder="1" applyAlignment="1">
      <alignment horizontal="center" vertical="center"/>
    </xf>
    <xf numFmtId="166" fontId="0" fillId="0" borderId="8" xfId="0" applyNumberFormat="1" applyBorder="1" applyAlignment="1">
      <alignment horizontal="center" vertical="center"/>
    </xf>
    <xf numFmtId="0" fontId="0" fillId="0" borderId="1" xfId="0" applyFill="1" applyBorder="1" applyAlignment="1">
      <alignment horizontal="center" vertical="center"/>
    </xf>
    <xf numFmtId="0" fontId="0" fillId="0" borderId="0" xfId="0" applyBorder="1"/>
    <xf numFmtId="8" fontId="0" fillId="0" borderId="0" xfId="0" applyNumberFormat="1" applyAlignment="1">
      <alignment horizontal="center" vertical="center"/>
    </xf>
    <xf numFmtId="0" fontId="4" fillId="0" borderId="1" xfId="0" applyFont="1" applyBorder="1" applyAlignment="1">
      <alignment horizontal="center" vertical="center" wrapText="1"/>
    </xf>
    <xf numFmtId="169" fontId="0" fillId="0" borderId="1" xfId="0" applyNumberFormat="1" applyBorder="1" applyAlignment="1">
      <alignment horizontal="center" vertical="center"/>
    </xf>
    <xf numFmtId="0" fontId="0" fillId="0" borderId="0" xfId="0"/>
    <xf numFmtId="3" fontId="0" fillId="0" borderId="1" xfId="2" applyNumberFormat="1" applyFont="1" applyFill="1" applyBorder="1" applyAlignment="1">
      <alignment horizontal="center" vertical="center"/>
    </xf>
    <xf numFmtId="164" fontId="0" fillId="0" borderId="1" xfId="3" applyNumberFormat="1" applyFont="1" applyFill="1" applyBorder="1" applyAlignment="1">
      <alignment horizontal="center" vertical="center"/>
    </xf>
    <xf numFmtId="0" fontId="0" fillId="0" borderId="1" xfId="0" applyBorder="1" applyAlignment="1">
      <alignment horizontal="center" vertical="center"/>
    </xf>
    <xf numFmtId="0" fontId="0" fillId="0" borderId="6" xfId="0" applyBorder="1"/>
    <xf numFmtId="0" fontId="0" fillId="0" borderId="8" xfId="0" applyBorder="1"/>
    <xf numFmtId="0" fontId="4" fillId="0" borderId="0" xfId="0" applyFont="1"/>
    <xf numFmtId="0" fontId="0" fillId="2" borderId="6" xfId="0" applyFill="1" applyBorder="1" applyAlignment="1">
      <alignment horizontal="center"/>
    </xf>
    <xf numFmtId="9" fontId="0" fillId="2" borderId="7" xfId="0" applyNumberFormat="1" applyFill="1" applyBorder="1" applyAlignment="1">
      <alignment horizontal="center"/>
    </xf>
    <xf numFmtId="0" fontId="0" fillId="2" borderId="7" xfId="0" applyFill="1" applyBorder="1" applyAlignment="1">
      <alignment horizontal="center"/>
    </xf>
    <xf numFmtId="9" fontId="0" fillId="2" borderId="8" xfId="0" applyNumberFormat="1" applyFill="1" applyBorder="1" applyAlignment="1">
      <alignment horizontal="center"/>
    </xf>
    <xf numFmtId="0" fontId="0" fillId="0" borderId="0" xfId="0" applyAlignment="1">
      <alignment horizontal="center" vertical="center"/>
    </xf>
    <xf numFmtId="0" fontId="0" fillId="0" borderId="1" xfId="0" applyBorder="1" applyAlignment="1">
      <alignment horizontal="left"/>
    </xf>
    <xf numFmtId="0" fontId="0" fillId="2" borderId="1" xfId="0" applyFill="1" applyBorder="1" applyAlignment="1">
      <alignment horizontal="center" vertical="center"/>
    </xf>
    <xf numFmtId="9" fontId="0" fillId="2" borderId="1" xfId="7" applyFont="1" applyFill="1" applyBorder="1" applyAlignment="1">
      <alignment horizontal="center" vertical="center"/>
    </xf>
    <xf numFmtId="165" fontId="0" fillId="0" borderId="1" xfId="0" applyNumberFormat="1" applyBorder="1" applyAlignment="1">
      <alignment horizontal="center" vertical="center"/>
    </xf>
    <xf numFmtId="165" fontId="0" fillId="0" borderId="6" xfId="0" applyNumberFormat="1" applyBorder="1" applyAlignment="1">
      <alignment horizontal="center" vertical="center"/>
    </xf>
    <xf numFmtId="166" fontId="0" fillId="0" borderId="8" xfId="0" applyNumberFormat="1" applyBorder="1" applyAlignment="1">
      <alignment horizontal="center" vertical="center"/>
    </xf>
    <xf numFmtId="0" fontId="0" fillId="0" borderId="0" xfId="0" applyBorder="1"/>
    <xf numFmtId="8" fontId="0" fillId="0" borderId="0" xfId="0" applyNumberFormat="1" applyAlignment="1">
      <alignment horizontal="center" vertical="center"/>
    </xf>
    <xf numFmtId="0" fontId="0" fillId="0" borderId="0" xfId="0"/>
    <xf numFmtId="3" fontId="0" fillId="0" borderId="1" xfId="2" applyNumberFormat="1" applyFont="1" applyFill="1" applyBorder="1" applyAlignment="1">
      <alignment horizontal="center" vertical="center"/>
    </xf>
    <xf numFmtId="164" fontId="0" fillId="0" borderId="1" xfId="3" applyNumberFormat="1" applyFont="1" applyFill="1" applyBorder="1" applyAlignment="1">
      <alignment horizontal="center" vertical="center"/>
    </xf>
    <xf numFmtId="0" fontId="0" fillId="0" borderId="1" xfId="0" applyBorder="1" applyAlignment="1">
      <alignment horizontal="center" vertical="center"/>
    </xf>
    <xf numFmtId="0" fontId="0" fillId="0" borderId="6" xfId="0" applyBorder="1"/>
    <xf numFmtId="0" fontId="0" fillId="0" borderId="8" xfId="0" applyBorder="1"/>
    <xf numFmtId="0" fontId="4" fillId="0" borderId="0" xfId="0" applyFont="1"/>
    <xf numFmtId="0" fontId="0" fillId="2" borderId="6" xfId="0" applyFill="1" applyBorder="1" applyAlignment="1">
      <alignment horizontal="center"/>
    </xf>
    <xf numFmtId="9" fontId="0" fillId="2" borderId="7" xfId="0" applyNumberFormat="1" applyFill="1" applyBorder="1" applyAlignment="1">
      <alignment horizontal="center"/>
    </xf>
    <xf numFmtId="0" fontId="0" fillId="2" borderId="7" xfId="0" applyFill="1" applyBorder="1" applyAlignment="1">
      <alignment horizontal="center"/>
    </xf>
    <xf numFmtId="9" fontId="0" fillId="2" borderId="8" xfId="0" applyNumberFormat="1" applyFill="1" applyBorder="1" applyAlignment="1">
      <alignment horizontal="center"/>
    </xf>
    <xf numFmtId="0" fontId="0" fillId="0" borderId="0" xfId="0" applyAlignment="1">
      <alignment horizontal="center" vertical="center"/>
    </xf>
    <xf numFmtId="0" fontId="0" fillId="0" borderId="1" xfId="0" applyBorder="1" applyAlignment="1">
      <alignment horizontal="left"/>
    </xf>
    <xf numFmtId="0" fontId="0" fillId="2" borderId="1" xfId="0" applyFill="1" applyBorder="1" applyAlignment="1">
      <alignment horizontal="center" vertical="center"/>
    </xf>
    <xf numFmtId="9" fontId="0" fillId="2" borderId="1" xfId="7" applyFont="1" applyFill="1" applyBorder="1" applyAlignment="1">
      <alignment horizontal="center" vertical="center"/>
    </xf>
    <xf numFmtId="165" fontId="0" fillId="0" borderId="1" xfId="0" applyNumberFormat="1" applyBorder="1" applyAlignment="1">
      <alignment horizontal="center" vertical="center"/>
    </xf>
    <xf numFmtId="165" fontId="0" fillId="0" borderId="6" xfId="0" applyNumberFormat="1" applyBorder="1" applyAlignment="1">
      <alignment horizontal="center" vertical="center"/>
    </xf>
    <xf numFmtId="166" fontId="0" fillId="0" borderId="8" xfId="0" applyNumberFormat="1" applyBorder="1" applyAlignment="1">
      <alignment horizontal="center" vertical="center"/>
    </xf>
    <xf numFmtId="0" fontId="0" fillId="0" borderId="1" xfId="0" applyFill="1" applyBorder="1" applyAlignment="1">
      <alignment horizontal="center" vertical="center"/>
    </xf>
    <xf numFmtId="0" fontId="0" fillId="0" borderId="0" xfId="0" applyBorder="1"/>
    <xf numFmtId="8" fontId="0" fillId="0" borderId="0" xfId="0" applyNumberFormat="1" applyAlignment="1">
      <alignment horizontal="center" vertical="center"/>
    </xf>
    <xf numFmtId="0" fontId="0" fillId="0" borderId="0" xfId="0"/>
    <xf numFmtId="3" fontId="0" fillId="0" borderId="1" xfId="2" applyNumberFormat="1" applyFont="1" applyFill="1" applyBorder="1" applyAlignment="1">
      <alignment horizontal="center" vertical="center"/>
    </xf>
    <xf numFmtId="164" fontId="0" fillId="0" borderId="1" xfId="3" applyNumberFormat="1" applyFont="1" applyFill="1" applyBorder="1" applyAlignment="1">
      <alignment horizontal="center" vertical="center"/>
    </xf>
    <xf numFmtId="0" fontId="0" fillId="0" borderId="1" xfId="0" applyBorder="1" applyAlignment="1">
      <alignment horizontal="center" vertical="center"/>
    </xf>
    <xf numFmtId="0" fontId="0" fillId="0" borderId="6" xfId="0" applyBorder="1"/>
    <xf numFmtId="0" fontId="0" fillId="0" borderId="8" xfId="0" applyBorder="1"/>
    <xf numFmtId="0" fontId="4" fillId="0" borderId="0" xfId="0" applyFont="1"/>
    <xf numFmtId="0" fontId="0" fillId="2" borderId="6" xfId="0" applyFill="1" applyBorder="1" applyAlignment="1">
      <alignment horizontal="center"/>
    </xf>
    <xf numFmtId="9" fontId="0" fillId="2" borderId="7" xfId="0" applyNumberFormat="1" applyFill="1" applyBorder="1" applyAlignment="1">
      <alignment horizontal="center"/>
    </xf>
    <xf numFmtId="0" fontId="0" fillId="2" borderId="7" xfId="0" applyFill="1" applyBorder="1" applyAlignment="1">
      <alignment horizontal="center"/>
    </xf>
    <xf numFmtId="9" fontId="0" fillId="2" borderId="8" xfId="0" applyNumberFormat="1" applyFill="1" applyBorder="1" applyAlignment="1">
      <alignment horizontal="center"/>
    </xf>
    <xf numFmtId="0" fontId="0" fillId="0" borderId="0" xfId="0" applyAlignment="1">
      <alignment horizontal="center" vertical="center"/>
    </xf>
    <xf numFmtId="0" fontId="0" fillId="0" borderId="1" xfId="0" applyBorder="1" applyAlignment="1">
      <alignment horizontal="left"/>
    </xf>
    <xf numFmtId="0" fontId="0" fillId="2" borderId="1" xfId="0" applyFill="1" applyBorder="1" applyAlignment="1">
      <alignment horizontal="center" vertical="center"/>
    </xf>
    <xf numFmtId="9" fontId="0" fillId="2" borderId="1" xfId="7" applyFont="1" applyFill="1" applyBorder="1" applyAlignment="1">
      <alignment horizontal="center" vertical="center"/>
    </xf>
    <xf numFmtId="165" fontId="0" fillId="0" borderId="1" xfId="0" applyNumberFormat="1" applyBorder="1" applyAlignment="1">
      <alignment horizontal="center" vertical="center"/>
    </xf>
    <xf numFmtId="165" fontId="0" fillId="0" borderId="6" xfId="0" applyNumberFormat="1" applyBorder="1" applyAlignment="1">
      <alignment horizontal="center" vertical="center"/>
    </xf>
    <xf numFmtId="166" fontId="0" fillId="0" borderId="8" xfId="0" applyNumberFormat="1" applyBorder="1" applyAlignment="1">
      <alignment horizontal="center" vertical="center"/>
    </xf>
    <xf numFmtId="0" fontId="0" fillId="0" borderId="1" xfId="0" applyFill="1" applyBorder="1" applyAlignment="1">
      <alignment horizontal="center" vertical="center"/>
    </xf>
    <xf numFmtId="0" fontId="0" fillId="0" borderId="0" xfId="0" applyBorder="1"/>
    <xf numFmtId="8" fontId="0" fillId="0" borderId="0" xfId="0" applyNumberFormat="1" applyAlignment="1">
      <alignment horizontal="center" vertical="center"/>
    </xf>
    <xf numFmtId="0" fontId="0" fillId="0" borderId="0" xfId="0"/>
    <xf numFmtId="3" fontId="0" fillId="0" borderId="1" xfId="2" applyNumberFormat="1" applyFont="1" applyFill="1" applyBorder="1" applyAlignment="1">
      <alignment horizontal="center" vertical="center"/>
    </xf>
    <xf numFmtId="164" fontId="0" fillId="0" borderId="1" xfId="3" applyNumberFormat="1" applyFont="1" applyFill="1" applyBorder="1" applyAlignment="1">
      <alignment horizontal="center" vertical="center"/>
    </xf>
    <xf numFmtId="0" fontId="0" fillId="0" borderId="1" xfId="0" applyBorder="1" applyAlignment="1">
      <alignment horizontal="center" vertical="center"/>
    </xf>
    <xf numFmtId="0" fontId="0" fillId="0" borderId="6" xfId="0" applyBorder="1"/>
    <xf numFmtId="0" fontId="0" fillId="0" borderId="8" xfId="0" applyBorder="1"/>
    <xf numFmtId="0" fontId="4" fillId="0" borderId="0" xfId="0" applyFont="1"/>
    <xf numFmtId="0" fontId="0" fillId="2" borderId="6" xfId="0" applyFill="1" applyBorder="1" applyAlignment="1">
      <alignment horizontal="center"/>
    </xf>
    <xf numFmtId="9" fontId="0" fillId="2" borderId="7" xfId="0" applyNumberFormat="1" applyFill="1" applyBorder="1" applyAlignment="1">
      <alignment horizontal="center"/>
    </xf>
    <xf numFmtId="0" fontId="0" fillId="2" borderId="7" xfId="0" applyFill="1" applyBorder="1" applyAlignment="1">
      <alignment horizontal="center"/>
    </xf>
    <xf numFmtId="9" fontId="0" fillId="2" borderId="8" xfId="0" applyNumberFormat="1" applyFill="1" applyBorder="1" applyAlignment="1">
      <alignment horizontal="center"/>
    </xf>
    <xf numFmtId="0" fontId="0" fillId="0" borderId="0" xfId="0" applyAlignment="1">
      <alignment horizontal="center" vertical="center"/>
    </xf>
    <xf numFmtId="0" fontId="0" fillId="0" borderId="1" xfId="0" applyBorder="1" applyAlignment="1">
      <alignment horizontal="left"/>
    </xf>
    <xf numFmtId="0" fontId="0" fillId="2" borderId="1" xfId="0" applyFill="1" applyBorder="1" applyAlignment="1">
      <alignment horizontal="center" vertical="center"/>
    </xf>
    <xf numFmtId="9" fontId="0" fillId="2" borderId="1" xfId="7" applyFont="1" applyFill="1" applyBorder="1" applyAlignment="1">
      <alignment horizontal="center" vertical="center"/>
    </xf>
    <xf numFmtId="165" fontId="0" fillId="0" borderId="1" xfId="0" applyNumberFormat="1" applyBorder="1" applyAlignment="1">
      <alignment horizontal="center" vertical="center"/>
    </xf>
    <xf numFmtId="165" fontId="0" fillId="0" borderId="6" xfId="0" applyNumberFormat="1" applyBorder="1" applyAlignment="1">
      <alignment horizontal="center" vertical="center"/>
    </xf>
    <xf numFmtId="166" fontId="0" fillId="0" borderId="8" xfId="0" applyNumberFormat="1" applyBorder="1" applyAlignment="1">
      <alignment horizontal="center" vertical="center"/>
    </xf>
    <xf numFmtId="0" fontId="0" fillId="0" borderId="0" xfId="0" applyBorder="1"/>
    <xf numFmtId="8" fontId="0" fillId="0" borderId="0" xfId="0" applyNumberFormat="1" applyAlignment="1">
      <alignment horizontal="center" vertical="center"/>
    </xf>
    <xf numFmtId="0" fontId="0" fillId="0" borderId="0" xfId="0"/>
    <xf numFmtId="3" fontId="0" fillId="0" borderId="1" xfId="2" applyNumberFormat="1" applyFont="1" applyFill="1" applyBorder="1" applyAlignment="1">
      <alignment horizontal="center" vertical="center"/>
    </xf>
    <xf numFmtId="164" fontId="0" fillId="0" borderId="1" xfId="3" applyNumberFormat="1" applyFont="1" applyFill="1" applyBorder="1" applyAlignment="1">
      <alignment horizontal="center" vertical="center"/>
    </xf>
    <xf numFmtId="0" fontId="0" fillId="0" borderId="1" xfId="0" applyBorder="1" applyAlignment="1">
      <alignment horizontal="center" vertical="center"/>
    </xf>
    <xf numFmtId="0" fontId="0" fillId="0" borderId="6" xfId="0" applyBorder="1"/>
    <xf numFmtId="0" fontId="0" fillId="0" borderId="8" xfId="0" applyBorder="1"/>
    <xf numFmtId="0" fontId="4" fillId="0" borderId="0" xfId="0" applyFont="1"/>
    <xf numFmtId="0" fontId="0" fillId="2" borderId="6" xfId="0" applyFill="1" applyBorder="1" applyAlignment="1">
      <alignment horizontal="center"/>
    </xf>
    <xf numFmtId="9" fontId="0" fillId="2" borderId="7" xfId="0" applyNumberFormat="1" applyFill="1" applyBorder="1" applyAlignment="1">
      <alignment horizontal="center"/>
    </xf>
    <xf numFmtId="0" fontId="0" fillId="2" borderId="7" xfId="0" applyFill="1" applyBorder="1" applyAlignment="1">
      <alignment horizontal="center"/>
    </xf>
    <xf numFmtId="9" fontId="0" fillId="2" borderId="8" xfId="0" applyNumberFormat="1" applyFill="1" applyBorder="1" applyAlignment="1">
      <alignment horizontal="center"/>
    </xf>
    <xf numFmtId="0" fontId="0" fillId="0" borderId="0" xfId="0" applyAlignment="1">
      <alignment horizontal="center" vertical="center"/>
    </xf>
    <xf numFmtId="0" fontId="0" fillId="0" borderId="1" xfId="0" applyBorder="1" applyAlignment="1">
      <alignment horizontal="left"/>
    </xf>
    <xf numFmtId="0" fontId="0" fillId="2" borderId="1" xfId="0" applyFill="1" applyBorder="1" applyAlignment="1">
      <alignment horizontal="center" vertical="center"/>
    </xf>
    <xf numFmtId="9" fontId="0" fillId="2" borderId="1" xfId="7" applyFont="1" applyFill="1" applyBorder="1" applyAlignment="1">
      <alignment horizontal="center" vertical="center"/>
    </xf>
    <xf numFmtId="165" fontId="0" fillId="0" borderId="1" xfId="0" applyNumberFormat="1" applyBorder="1" applyAlignment="1">
      <alignment horizontal="center" vertical="center"/>
    </xf>
    <xf numFmtId="165" fontId="0" fillId="0" borderId="6" xfId="0" applyNumberFormat="1" applyBorder="1" applyAlignment="1">
      <alignment horizontal="center" vertical="center"/>
    </xf>
    <xf numFmtId="166" fontId="0" fillId="0" borderId="8" xfId="0" applyNumberFormat="1" applyBorder="1" applyAlignment="1">
      <alignment horizontal="center" vertical="center"/>
    </xf>
    <xf numFmtId="0" fontId="0" fillId="0" borderId="0" xfId="0" applyBorder="1"/>
    <xf numFmtId="8" fontId="0" fillId="0" borderId="0" xfId="0" applyNumberFormat="1" applyAlignment="1">
      <alignment horizontal="center" vertical="center"/>
    </xf>
    <xf numFmtId="0" fontId="0" fillId="0" borderId="0" xfId="0"/>
    <xf numFmtId="3" fontId="0" fillId="0" borderId="1" xfId="2" applyNumberFormat="1" applyFont="1" applyFill="1" applyBorder="1" applyAlignment="1">
      <alignment horizontal="center" vertical="center"/>
    </xf>
    <xf numFmtId="164" fontId="0" fillId="0" borderId="1" xfId="3" applyNumberFormat="1" applyFont="1" applyFill="1" applyBorder="1" applyAlignment="1">
      <alignment horizontal="center" vertical="center"/>
    </xf>
    <xf numFmtId="0" fontId="0" fillId="0" borderId="1" xfId="0" applyBorder="1" applyAlignment="1">
      <alignment horizontal="center" vertical="center"/>
    </xf>
    <xf numFmtId="0" fontId="0" fillId="0" borderId="6" xfId="0" applyBorder="1"/>
    <xf numFmtId="0" fontId="0" fillId="0" borderId="8" xfId="0" applyBorder="1"/>
    <xf numFmtId="0" fontId="4" fillId="0" borderId="0" xfId="0" applyFont="1"/>
    <xf numFmtId="0" fontId="0" fillId="2" borderId="6" xfId="0" applyFill="1" applyBorder="1" applyAlignment="1">
      <alignment horizontal="center"/>
    </xf>
    <xf numFmtId="9" fontId="0" fillId="2" borderId="7" xfId="0" applyNumberFormat="1" applyFill="1" applyBorder="1" applyAlignment="1">
      <alignment horizontal="center"/>
    </xf>
    <xf numFmtId="0" fontId="0" fillId="2" borderId="7" xfId="0" applyFill="1" applyBorder="1" applyAlignment="1">
      <alignment horizontal="center"/>
    </xf>
    <xf numFmtId="9" fontId="0" fillId="2" borderId="8" xfId="0" applyNumberFormat="1" applyFill="1" applyBorder="1" applyAlignment="1">
      <alignment horizontal="center"/>
    </xf>
    <xf numFmtId="0" fontId="0" fillId="0" borderId="0" xfId="0" applyAlignment="1">
      <alignment horizontal="center" vertical="center"/>
    </xf>
    <xf numFmtId="0" fontId="0" fillId="0" borderId="1" xfId="0" applyBorder="1" applyAlignment="1">
      <alignment horizontal="left"/>
    </xf>
    <xf numFmtId="0" fontId="0" fillId="2" borderId="1" xfId="0" applyFill="1" applyBorder="1" applyAlignment="1">
      <alignment horizontal="center" vertical="center"/>
    </xf>
    <xf numFmtId="9" fontId="0" fillId="2" borderId="1" xfId="7" applyFont="1" applyFill="1" applyBorder="1" applyAlignment="1">
      <alignment horizontal="center" vertical="center"/>
    </xf>
    <xf numFmtId="165" fontId="0" fillId="0" borderId="1" xfId="0" applyNumberFormat="1" applyBorder="1" applyAlignment="1">
      <alignment horizontal="center" vertical="center"/>
    </xf>
    <xf numFmtId="165" fontId="0" fillId="0" borderId="6" xfId="0" applyNumberFormat="1" applyBorder="1" applyAlignment="1">
      <alignment horizontal="center" vertical="center"/>
    </xf>
    <xf numFmtId="166" fontId="0" fillId="0" borderId="8" xfId="0" applyNumberFormat="1" applyBorder="1" applyAlignment="1">
      <alignment horizontal="center" vertical="center"/>
    </xf>
    <xf numFmtId="0" fontId="0" fillId="0" borderId="0" xfId="0" applyBorder="1"/>
    <xf numFmtId="8" fontId="0" fillId="0" borderId="0" xfId="0" applyNumberFormat="1" applyAlignment="1">
      <alignment horizontal="center" vertical="center"/>
    </xf>
    <xf numFmtId="0" fontId="0" fillId="0" borderId="0" xfId="0"/>
    <xf numFmtId="3" fontId="0" fillId="0" borderId="1" xfId="2" applyNumberFormat="1" applyFont="1" applyFill="1" applyBorder="1" applyAlignment="1">
      <alignment horizontal="center" vertical="center"/>
    </xf>
    <xf numFmtId="164" fontId="0" fillId="0" borderId="1" xfId="3" applyNumberFormat="1" applyFont="1" applyFill="1" applyBorder="1" applyAlignment="1">
      <alignment horizontal="center" vertical="center"/>
    </xf>
    <xf numFmtId="0" fontId="0" fillId="0" borderId="1" xfId="0" applyBorder="1" applyAlignment="1">
      <alignment horizontal="center" vertical="center"/>
    </xf>
    <xf numFmtId="0" fontId="0" fillId="0" borderId="6" xfId="0" applyBorder="1"/>
    <xf numFmtId="0" fontId="0" fillId="0" borderId="8" xfId="0" applyBorder="1"/>
    <xf numFmtId="0" fontId="4" fillId="0" borderId="0" xfId="0" applyFont="1"/>
    <xf numFmtId="0" fontId="0" fillId="2" borderId="6" xfId="0" applyFill="1" applyBorder="1" applyAlignment="1">
      <alignment horizontal="center"/>
    </xf>
    <xf numFmtId="9" fontId="0" fillId="2" borderId="7" xfId="0" applyNumberFormat="1" applyFill="1" applyBorder="1" applyAlignment="1">
      <alignment horizontal="center"/>
    </xf>
    <xf numFmtId="0" fontId="0" fillId="2" borderId="7" xfId="0" applyFill="1" applyBorder="1" applyAlignment="1">
      <alignment horizontal="center"/>
    </xf>
    <xf numFmtId="9" fontId="0" fillId="2" borderId="8" xfId="0" applyNumberFormat="1" applyFill="1" applyBorder="1" applyAlignment="1">
      <alignment horizontal="center"/>
    </xf>
    <xf numFmtId="0" fontId="0" fillId="0" borderId="0" xfId="0" applyAlignment="1">
      <alignment horizontal="center" vertical="center"/>
    </xf>
    <xf numFmtId="0" fontId="0" fillId="0" borderId="1" xfId="0" applyBorder="1" applyAlignment="1">
      <alignment horizontal="left"/>
    </xf>
    <xf numFmtId="0" fontId="0" fillId="2" borderId="1" xfId="0" applyFill="1" applyBorder="1" applyAlignment="1">
      <alignment horizontal="center" vertical="center"/>
    </xf>
    <xf numFmtId="9" fontId="0" fillId="2" borderId="1" xfId="7" applyFont="1" applyFill="1" applyBorder="1" applyAlignment="1">
      <alignment horizontal="center" vertical="center"/>
    </xf>
    <xf numFmtId="165" fontId="0" fillId="0" borderId="1" xfId="0" applyNumberFormat="1" applyBorder="1" applyAlignment="1">
      <alignment horizontal="center" vertical="center"/>
    </xf>
    <xf numFmtId="165" fontId="0" fillId="0" borderId="6" xfId="0" applyNumberFormat="1" applyBorder="1" applyAlignment="1">
      <alignment horizontal="center" vertical="center"/>
    </xf>
    <xf numFmtId="166" fontId="0" fillId="0" borderId="8" xfId="0" applyNumberFormat="1" applyBorder="1" applyAlignment="1">
      <alignment horizontal="center" vertical="center"/>
    </xf>
    <xf numFmtId="0" fontId="0" fillId="0" borderId="1" xfId="0" applyFill="1" applyBorder="1" applyAlignment="1">
      <alignment horizontal="center" vertical="center"/>
    </xf>
    <xf numFmtId="0" fontId="0" fillId="0" borderId="0" xfId="0" applyBorder="1"/>
    <xf numFmtId="8" fontId="0" fillId="0" borderId="0" xfId="0" applyNumberFormat="1" applyAlignment="1">
      <alignment horizontal="center" vertical="center"/>
    </xf>
    <xf numFmtId="0" fontId="0" fillId="0" borderId="0" xfId="0"/>
    <xf numFmtId="3" fontId="0" fillId="0" borderId="1" xfId="2" applyNumberFormat="1" applyFont="1" applyFill="1" applyBorder="1" applyAlignment="1">
      <alignment horizontal="center" vertical="center"/>
    </xf>
    <xf numFmtId="164" fontId="0" fillId="0" borderId="1" xfId="3" applyNumberFormat="1" applyFont="1" applyFill="1" applyBorder="1" applyAlignment="1">
      <alignment horizontal="center" vertical="center"/>
    </xf>
    <xf numFmtId="0" fontId="0" fillId="0" borderId="1" xfId="0" applyBorder="1" applyAlignment="1">
      <alignment horizontal="center" vertical="center"/>
    </xf>
    <xf numFmtId="0" fontId="0" fillId="0" borderId="6" xfId="0" applyBorder="1"/>
    <xf numFmtId="0" fontId="0" fillId="0" borderId="8" xfId="0" applyBorder="1"/>
    <xf numFmtId="0" fontId="4" fillId="0" borderId="0" xfId="0" applyFont="1"/>
    <xf numFmtId="0" fontId="0" fillId="2" borderId="6" xfId="0" applyFill="1" applyBorder="1" applyAlignment="1">
      <alignment horizontal="center"/>
    </xf>
    <xf numFmtId="9" fontId="0" fillId="2" borderId="7" xfId="0" applyNumberFormat="1" applyFill="1" applyBorder="1" applyAlignment="1">
      <alignment horizontal="center"/>
    </xf>
    <xf numFmtId="0" fontId="0" fillId="2" borderId="7" xfId="0" applyFill="1" applyBorder="1" applyAlignment="1">
      <alignment horizontal="center"/>
    </xf>
    <xf numFmtId="9" fontId="0" fillId="2" borderId="8" xfId="0" applyNumberFormat="1" applyFill="1" applyBorder="1" applyAlignment="1">
      <alignment horizontal="center"/>
    </xf>
    <xf numFmtId="0" fontId="0" fillId="0" borderId="0" xfId="0" applyAlignment="1">
      <alignment horizontal="center" vertical="center"/>
    </xf>
    <xf numFmtId="0" fontId="0" fillId="0" borderId="1" xfId="0" applyBorder="1" applyAlignment="1">
      <alignment horizontal="left"/>
    </xf>
    <xf numFmtId="0" fontId="0" fillId="2" borderId="1" xfId="0" applyFill="1" applyBorder="1" applyAlignment="1">
      <alignment horizontal="center" vertical="center"/>
    </xf>
    <xf numFmtId="9" fontId="0" fillId="2" borderId="1" xfId="7" applyFont="1" applyFill="1" applyBorder="1" applyAlignment="1">
      <alignment horizontal="center" vertical="center"/>
    </xf>
    <xf numFmtId="165" fontId="0" fillId="0" borderId="1" xfId="0" applyNumberFormat="1" applyBorder="1" applyAlignment="1">
      <alignment horizontal="center" vertical="center"/>
    </xf>
    <xf numFmtId="165" fontId="0" fillId="0" borderId="6" xfId="0" applyNumberFormat="1" applyBorder="1" applyAlignment="1">
      <alignment horizontal="center" vertical="center"/>
    </xf>
    <xf numFmtId="166" fontId="0" fillId="0" borderId="8" xfId="0" applyNumberFormat="1" applyBorder="1" applyAlignment="1">
      <alignment horizontal="center" vertical="center"/>
    </xf>
    <xf numFmtId="0" fontId="0" fillId="0" borderId="1" xfId="0" applyFill="1" applyBorder="1" applyAlignment="1">
      <alignment horizontal="center" vertical="center"/>
    </xf>
    <xf numFmtId="0" fontId="0" fillId="0" borderId="0" xfId="0" applyBorder="1"/>
    <xf numFmtId="8" fontId="0" fillId="0" borderId="0" xfId="0" applyNumberFormat="1" applyAlignment="1">
      <alignment horizontal="center" vertical="center"/>
    </xf>
    <xf numFmtId="0" fontId="0" fillId="0" borderId="0" xfId="0"/>
    <xf numFmtId="3" fontId="0" fillId="0" borderId="1" xfId="2" applyNumberFormat="1" applyFont="1" applyFill="1" applyBorder="1" applyAlignment="1">
      <alignment horizontal="center" vertical="center"/>
    </xf>
    <xf numFmtId="164" fontId="0" fillId="0" borderId="1" xfId="3" applyNumberFormat="1" applyFont="1" applyFill="1" applyBorder="1" applyAlignment="1">
      <alignment horizontal="center" vertical="center"/>
    </xf>
    <xf numFmtId="0" fontId="0" fillId="0" borderId="1" xfId="0" applyBorder="1" applyAlignment="1">
      <alignment horizontal="center" vertical="center"/>
    </xf>
    <xf numFmtId="0" fontId="0" fillId="0" borderId="6" xfId="0" applyBorder="1"/>
    <xf numFmtId="0" fontId="0" fillId="0" borderId="8" xfId="0" applyBorder="1"/>
    <xf numFmtId="0" fontId="4" fillId="0" borderId="0" xfId="0" applyFont="1"/>
    <xf numFmtId="0" fontId="0" fillId="2" borderId="6" xfId="0" applyFill="1" applyBorder="1" applyAlignment="1">
      <alignment horizontal="center"/>
    </xf>
    <xf numFmtId="9" fontId="0" fillId="2" borderId="7" xfId="0" applyNumberFormat="1" applyFill="1" applyBorder="1" applyAlignment="1">
      <alignment horizontal="center"/>
    </xf>
    <xf numFmtId="0" fontId="0" fillId="2" borderId="7" xfId="0" applyFill="1" applyBorder="1" applyAlignment="1">
      <alignment horizontal="center"/>
    </xf>
    <xf numFmtId="9" fontId="0" fillId="2" borderId="8" xfId="0" applyNumberFormat="1" applyFill="1" applyBorder="1" applyAlignment="1">
      <alignment horizontal="center"/>
    </xf>
    <xf numFmtId="0" fontId="0" fillId="0" borderId="0" xfId="0" applyAlignment="1">
      <alignment horizontal="center" vertical="center"/>
    </xf>
    <xf numFmtId="0" fontId="0" fillId="0" borderId="1" xfId="0" applyBorder="1" applyAlignment="1">
      <alignment horizontal="left"/>
    </xf>
    <xf numFmtId="0" fontId="0" fillId="2" borderId="1" xfId="0" applyFill="1" applyBorder="1" applyAlignment="1">
      <alignment horizontal="center" vertical="center"/>
    </xf>
    <xf numFmtId="9" fontId="0" fillId="2" borderId="1" xfId="7" applyFont="1" applyFill="1" applyBorder="1" applyAlignment="1">
      <alignment horizontal="center" vertical="center"/>
    </xf>
    <xf numFmtId="165" fontId="0" fillId="0" borderId="1" xfId="0" applyNumberFormat="1" applyBorder="1" applyAlignment="1">
      <alignment horizontal="center" vertical="center"/>
    </xf>
    <xf numFmtId="165" fontId="0" fillId="0" borderId="6" xfId="0" applyNumberFormat="1" applyBorder="1" applyAlignment="1">
      <alignment horizontal="center" vertical="center"/>
    </xf>
    <xf numFmtId="166" fontId="0" fillId="0" borderId="8" xfId="0" applyNumberFormat="1" applyBorder="1" applyAlignment="1">
      <alignment horizontal="center" vertical="center"/>
    </xf>
    <xf numFmtId="0" fontId="0" fillId="0" borderId="1" xfId="0" applyFill="1" applyBorder="1" applyAlignment="1">
      <alignment horizontal="center" vertical="center"/>
    </xf>
    <xf numFmtId="0" fontId="0" fillId="0" borderId="0" xfId="0" applyBorder="1"/>
    <xf numFmtId="8" fontId="0" fillId="0" borderId="0" xfId="0" applyNumberFormat="1" applyAlignment="1">
      <alignment horizontal="center" vertical="center"/>
    </xf>
    <xf numFmtId="3" fontId="0" fillId="0" borderId="1" xfId="2" applyNumberFormat="1" applyFont="1" applyFill="1" applyBorder="1" applyAlignment="1">
      <alignment horizontal="center" vertical="center"/>
    </xf>
    <xf numFmtId="164" fontId="0" fillId="0" borderId="1" xfId="3" applyNumberFormat="1" applyFont="1" applyFill="1" applyBorder="1" applyAlignment="1">
      <alignment horizontal="center" vertical="center"/>
    </xf>
    <xf numFmtId="0" fontId="0" fillId="0" borderId="1" xfId="0" applyBorder="1" applyAlignment="1">
      <alignment horizontal="center" vertical="center"/>
    </xf>
    <xf numFmtId="0" fontId="4" fillId="0" borderId="0" xfId="0" applyFont="1"/>
    <xf numFmtId="0" fontId="0" fillId="2" borderId="6" xfId="0" applyFill="1" applyBorder="1" applyAlignment="1">
      <alignment horizontal="center"/>
    </xf>
    <xf numFmtId="9" fontId="0" fillId="2" borderId="7" xfId="0" applyNumberFormat="1" applyFill="1" applyBorder="1" applyAlignment="1">
      <alignment horizontal="center"/>
    </xf>
    <xf numFmtId="0" fontId="0" fillId="2" borderId="7" xfId="0" applyFill="1" applyBorder="1" applyAlignment="1">
      <alignment horizontal="center"/>
    </xf>
    <xf numFmtId="9" fontId="0" fillId="2" borderId="8" xfId="0" applyNumberFormat="1" applyFill="1" applyBorder="1" applyAlignment="1">
      <alignment horizontal="center"/>
    </xf>
    <xf numFmtId="3" fontId="4" fillId="0" borderId="1" xfId="2" applyNumberFormat="1" applyFont="1" applyFill="1" applyBorder="1" applyAlignment="1">
      <alignment horizontal="center" vertical="center"/>
    </xf>
    <xf numFmtId="0" fontId="0" fillId="0" borderId="0" xfId="0" applyAlignment="1">
      <alignment horizontal="center" vertical="center"/>
    </xf>
    <xf numFmtId="0" fontId="0" fillId="0" borderId="1" xfId="0" applyBorder="1" applyAlignment="1">
      <alignment horizontal="left"/>
    </xf>
    <xf numFmtId="0" fontId="0" fillId="2" borderId="1" xfId="0" applyFill="1" applyBorder="1" applyAlignment="1">
      <alignment horizontal="center" vertical="center"/>
    </xf>
    <xf numFmtId="0" fontId="0" fillId="0" borderId="1" xfId="0" applyFill="1" applyBorder="1" applyAlignment="1">
      <alignment horizontal="center" vertical="center"/>
    </xf>
    <xf numFmtId="0" fontId="0" fillId="0" borderId="0" xfId="0" applyBorder="1"/>
    <xf numFmtId="8" fontId="0" fillId="0" borderId="0" xfId="0" applyNumberFormat="1" applyAlignment="1">
      <alignment horizontal="center" vertical="center"/>
    </xf>
    <xf numFmtId="0" fontId="0" fillId="0" borderId="0" xfId="0"/>
    <xf numFmtId="0" fontId="4" fillId="0" borderId="1" xfId="0" applyFont="1" applyBorder="1" applyAlignment="1">
      <alignment horizontal="center"/>
    </xf>
    <xf numFmtId="165" fontId="0" fillId="0" borderId="1" xfId="0" applyNumberFormat="1" applyBorder="1" applyAlignment="1">
      <alignment horizontal="center" vertical="center"/>
    </xf>
    <xf numFmtId="0" fontId="0" fillId="0" borderId="1" xfId="0" applyBorder="1" applyAlignment="1">
      <alignment wrapText="1"/>
    </xf>
    <xf numFmtId="166" fontId="0" fillId="0" borderId="0" xfId="0" applyNumberFormat="1" applyBorder="1" applyAlignment="1">
      <alignment horizontal="right" vertical="center"/>
    </xf>
    <xf numFmtId="1" fontId="0" fillId="0" borderId="1" xfId="2" applyNumberFormat="1" applyFont="1" applyFill="1" applyBorder="1" applyAlignment="1">
      <alignment horizontal="center"/>
    </xf>
    <xf numFmtId="1" fontId="4" fillId="0" borderId="0" xfId="2" applyNumberFormat="1" applyFont="1" applyFill="1" applyBorder="1" applyAlignment="1">
      <alignment horizontal="left" vertical="center"/>
    </xf>
    <xf numFmtId="0" fontId="4" fillId="0" borderId="1" xfId="0" applyFont="1" applyBorder="1" applyAlignment="1">
      <alignment horizontal="center" vertical="center"/>
    </xf>
    <xf numFmtId="3" fontId="1" fillId="0" borderId="1" xfId="2" applyNumberFormat="1" applyFont="1" applyFill="1" applyBorder="1" applyAlignment="1">
      <alignment horizontal="center" vertical="center"/>
    </xf>
    <xf numFmtId="0" fontId="6" fillId="0" borderId="0" xfId="0" applyFont="1" applyAlignment="1">
      <alignment vertical="center"/>
    </xf>
    <xf numFmtId="4" fontId="1" fillId="0" borderId="1" xfId="2" applyNumberFormat="1" applyFont="1" applyFill="1" applyBorder="1" applyAlignment="1">
      <alignment horizontal="center" vertical="center"/>
    </xf>
    <xf numFmtId="1" fontId="0" fillId="0" borderId="1" xfId="0" applyNumberFormat="1" applyBorder="1" applyAlignment="1">
      <alignment horizontal="center" vertical="center"/>
    </xf>
    <xf numFmtId="0" fontId="0" fillId="2" borderId="1" xfId="7" applyNumberFormat="1" applyFont="1" applyFill="1" applyBorder="1" applyAlignment="1">
      <alignment horizontal="center" vertical="center"/>
    </xf>
    <xf numFmtId="2" fontId="0" fillId="0" borderId="1" xfId="0" applyNumberFormat="1" applyBorder="1" applyAlignment="1">
      <alignment horizontal="center" vertical="center"/>
    </xf>
    <xf numFmtId="165" fontId="0" fillId="0" borderId="0" xfId="0" applyNumberFormat="1" applyBorder="1" applyAlignment="1">
      <alignment horizontal="center" vertical="center"/>
    </xf>
    <xf numFmtId="8" fontId="0" fillId="0" borderId="0" xfId="0" applyNumberFormat="1" applyBorder="1" applyAlignment="1">
      <alignment horizontal="center" vertical="center"/>
    </xf>
    <xf numFmtId="1" fontId="0" fillId="0" borderId="0" xfId="0" applyNumberFormat="1" applyAlignment="1">
      <alignment horizontal="center" vertical="center"/>
    </xf>
    <xf numFmtId="0" fontId="0" fillId="0" borderId="1" xfId="0" applyBorder="1" applyAlignment="1">
      <alignment horizontal="center" vertical="center" wrapText="1"/>
    </xf>
    <xf numFmtId="165" fontId="0" fillId="2" borderId="1" xfId="0" applyNumberFormat="1" applyFill="1" applyBorder="1" applyAlignment="1">
      <alignment horizontal="center" vertical="center"/>
    </xf>
    <xf numFmtId="1" fontId="0" fillId="2" borderId="1" xfId="0" applyNumberFormat="1" applyFill="1" applyBorder="1" applyAlignment="1">
      <alignment horizontal="center" vertical="center"/>
    </xf>
    <xf numFmtId="0" fontId="0" fillId="0" borderId="0" xfId="0" applyNumberFormat="1"/>
    <xf numFmtId="0" fontId="0" fillId="0" borderId="1" xfId="0" applyBorder="1"/>
    <xf numFmtId="3" fontId="1" fillId="0" borderId="1" xfId="2" applyNumberFormat="1" applyFont="1" applyFill="1" applyBorder="1" applyAlignment="1">
      <alignment horizontal="center" vertical="center"/>
    </xf>
    <xf numFmtId="0" fontId="3" fillId="0" borderId="0" xfId="1" applyFont="1" applyBorder="1" applyAlignment="1"/>
    <xf numFmtId="0" fontId="4" fillId="0" borderId="0" xfId="0" applyFont="1" applyFill="1" applyBorder="1"/>
    <xf numFmtId="3" fontId="1" fillId="0" borderId="1" xfId="2" applyNumberFormat="1" applyFont="1" applyFill="1" applyBorder="1" applyAlignment="1">
      <alignment horizontal="center" vertical="center"/>
    </xf>
    <xf numFmtId="3" fontId="1" fillId="0" borderId="1" xfId="2" applyNumberFormat="1" applyFont="1" applyFill="1" applyBorder="1" applyAlignment="1">
      <alignment horizontal="center" vertical="center"/>
    </xf>
    <xf numFmtId="167" fontId="0" fillId="0" borderId="1" xfId="2" applyNumberFormat="1" applyFont="1" applyFill="1" applyBorder="1" applyAlignment="1">
      <alignment horizontal="center" vertical="center"/>
    </xf>
    <xf numFmtId="3" fontId="1" fillId="0" borderId="1" xfId="2" applyNumberFormat="1" applyFont="1" applyFill="1" applyBorder="1" applyAlignment="1">
      <alignment horizontal="center" vertical="center"/>
    </xf>
    <xf numFmtId="3" fontId="1" fillId="0" borderId="1" xfId="2" applyNumberFormat="1" applyFont="1" applyFill="1" applyBorder="1" applyAlignment="1">
      <alignment horizontal="center" vertical="center"/>
    </xf>
    <xf numFmtId="3" fontId="1" fillId="0" borderId="1" xfId="2" applyNumberFormat="1" applyFont="1" applyFill="1" applyBorder="1" applyAlignment="1">
      <alignment horizontal="center" vertical="center"/>
    </xf>
    <xf numFmtId="0" fontId="4" fillId="0" borderId="0" xfId="0" applyFont="1" applyFill="1" applyBorder="1" applyAlignment="1"/>
    <xf numFmtId="0" fontId="9" fillId="0" borderId="1" xfId="0" applyFont="1" applyBorder="1" applyAlignment="1">
      <alignment horizontal="center" vertical="center" wrapText="1"/>
    </xf>
    <xf numFmtId="3" fontId="9" fillId="3" borderId="1" xfId="0" applyNumberFormat="1" applyFont="1" applyFill="1" applyBorder="1" applyAlignment="1">
      <alignment horizontal="center" vertical="center" wrapText="1"/>
    </xf>
    <xf numFmtId="165" fontId="9" fillId="3" borderId="1" xfId="0" applyNumberFormat="1" applyFont="1" applyFill="1" applyBorder="1" applyAlignment="1">
      <alignment horizontal="center" vertical="center" wrapText="1"/>
    </xf>
    <xf numFmtId="3" fontId="9" fillId="4" borderId="1" xfId="0" applyNumberFormat="1" applyFont="1" applyFill="1" applyBorder="1" applyAlignment="1">
      <alignment horizontal="center" vertical="center" wrapText="1"/>
    </xf>
    <xf numFmtId="165" fontId="9" fillId="4" borderId="1" xfId="0" applyNumberFormat="1" applyFont="1" applyFill="1" applyBorder="1" applyAlignment="1">
      <alignment horizontal="center" vertical="center" wrapText="1"/>
    </xf>
    <xf numFmtId="0" fontId="4" fillId="0" borderId="1" xfId="0" applyFont="1" applyBorder="1" applyAlignment="1">
      <alignment horizontal="center" wrapText="1"/>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xf>
    <xf numFmtId="0" fontId="8"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4" fillId="0" borderId="1" xfId="0" applyFont="1" applyBorder="1" applyAlignment="1">
      <alignment horizontal="center" vertical="center"/>
    </xf>
    <xf numFmtId="0" fontId="9" fillId="3" borderId="6"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3" fillId="0" borderId="1" xfId="1" applyFont="1" applyBorder="1" applyAlignment="1">
      <alignment horizontal="center" vertical="center"/>
    </xf>
    <xf numFmtId="0" fontId="3" fillId="0" borderId="0" xfId="1" applyFont="1" applyBorder="1" applyAlignment="1">
      <alignment horizontal="center"/>
    </xf>
    <xf numFmtId="3" fontId="1" fillId="0" borderId="1" xfId="2" applyNumberFormat="1" applyFont="1" applyFill="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4" fillId="0" borderId="9" xfId="0" applyFont="1" applyBorder="1" applyAlignment="1">
      <alignment horizontal="center"/>
    </xf>
    <xf numFmtId="0" fontId="4" fillId="0" borderId="10" xfId="0" applyFont="1" applyBorder="1" applyAlignment="1">
      <alignment horizontal="center"/>
    </xf>
  </cellXfs>
  <cellStyles count="8">
    <cellStyle name="Comma 2" xfId="3"/>
    <cellStyle name="Currency 2" xfId="5"/>
    <cellStyle name="Currency 3" xfId="6"/>
    <cellStyle name="Normal" xfId="0" builtinId="0"/>
    <cellStyle name="Normal 2" xfId="1"/>
    <cellStyle name="Normal 2 2" xfId="2"/>
    <cellStyle name="Percent" xfId="7" builtinId="5"/>
    <cellStyle name="Percent 2" xfId="4"/>
  </cellStyles>
  <dxfs count="14">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 Id="rId30" Type="http://schemas.openxmlformats.org/officeDocument/2006/relationships/customXml" Target="../customXml/item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tabSelected="1" zoomScale="70" zoomScaleNormal="70" workbookViewId="0">
      <selection activeCell="A9" sqref="A9"/>
    </sheetView>
  </sheetViews>
  <sheetFormatPr defaultRowHeight="14.4" x14ac:dyDescent="0.3"/>
  <cols>
    <col min="1" max="1" width="255.77734375" customWidth="1"/>
  </cols>
  <sheetData>
    <row r="1" spans="1:1" ht="22.8" x14ac:dyDescent="0.3">
      <c r="A1" s="366" t="s">
        <v>131</v>
      </c>
    </row>
    <row r="2" spans="1:1" x14ac:dyDescent="0.3">
      <c r="A2" s="357" t="s">
        <v>113</v>
      </c>
    </row>
    <row r="3" spans="1:1" s="357" customFormat="1" x14ac:dyDescent="0.3"/>
    <row r="4" spans="1:1" x14ac:dyDescent="0.3">
      <c r="A4" s="357" t="s">
        <v>149</v>
      </c>
    </row>
    <row r="5" spans="1:1" x14ac:dyDescent="0.3">
      <c r="A5" s="357" t="s">
        <v>114</v>
      </c>
    </row>
    <row r="6" spans="1:1" x14ac:dyDescent="0.3">
      <c r="A6" s="357" t="s">
        <v>115</v>
      </c>
    </row>
    <row r="7" spans="1:1" x14ac:dyDescent="0.3">
      <c r="A7" s="357" t="s">
        <v>116</v>
      </c>
    </row>
    <row r="8" spans="1:1" x14ac:dyDescent="0.3">
      <c r="A8" s="357"/>
    </row>
    <row r="9" spans="1:1" x14ac:dyDescent="0.3">
      <c r="A9" s="357" t="s">
        <v>159</v>
      </c>
    </row>
    <row r="10" spans="1:1" x14ac:dyDescent="0.3">
      <c r="A10" s="357" t="s">
        <v>132</v>
      </c>
    </row>
    <row r="11" spans="1:1" s="357" customFormat="1" x14ac:dyDescent="0.3">
      <c r="A11" s="357" t="s">
        <v>160</v>
      </c>
    </row>
    <row r="12" spans="1:1" x14ac:dyDescent="0.3">
      <c r="A12" s="357" t="s">
        <v>133</v>
      </c>
    </row>
    <row r="13" spans="1:1" s="357" customFormat="1" x14ac:dyDescent="0.3">
      <c r="A13" s="357" t="s">
        <v>161</v>
      </c>
    </row>
    <row r="14" spans="1:1" x14ac:dyDescent="0.3">
      <c r="A14" s="357" t="s">
        <v>146</v>
      </c>
    </row>
    <row r="15" spans="1:1" s="357" customFormat="1" x14ac:dyDescent="0.3">
      <c r="A15" s="357" t="s">
        <v>162</v>
      </c>
    </row>
    <row r="16" spans="1:1" s="357" customFormat="1" x14ac:dyDescent="0.3">
      <c r="A16" s="357" t="s">
        <v>143</v>
      </c>
    </row>
    <row r="17" spans="1:1" s="357" customFormat="1" x14ac:dyDescent="0.3">
      <c r="A17" s="357" t="s">
        <v>183</v>
      </c>
    </row>
    <row r="18" spans="1:1" s="357" customFormat="1" x14ac:dyDescent="0.3">
      <c r="A18" s="357" t="s">
        <v>182</v>
      </c>
    </row>
    <row r="19" spans="1:1" x14ac:dyDescent="0.3">
      <c r="A19" t="s">
        <v>148</v>
      </c>
    </row>
    <row r="20" spans="1:1" x14ac:dyDescent="0.3">
      <c r="A20" t="s">
        <v>181</v>
      </c>
    </row>
    <row r="21" spans="1:1" x14ac:dyDescent="0.3">
      <c r="A21" s="357" t="s">
        <v>147</v>
      </c>
    </row>
    <row r="22" spans="1:1" x14ac:dyDescent="0.3">
      <c r="A22" s="357" t="s">
        <v>144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zoomScale="55" zoomScaleNormal="55" workbookViewId="0">
      <selection activeCell="F27" sqref="F27"/>
    </sheetView>
  </sheetViews>
  <sheetFormatPr defaultRowHeight="14.4" x14ac:dyDescent="0.3"/>
  <cols>
    <col min="1" max="1" width="38.77734375" style="259" customWidth="1"/>
    <col min="2" max="12" width="15.77734375" style="259" customWidth="1"/>
    <col min="13" max="17" width="10.77734375" style="259" customWidth="1"/>
    <col min="18" max="16384" width="8.88671875" style="259"/>
  </cols>
  <sheetData>
    <row r="1" spans="1:18" x14ac:dyDescent="0.3">
      <c r="A1" s="265" t="s">
        <v>92</v>
      </c>
    </row>
    <row r="2" spans="1:18" x14ac:dyDescent="0.3">
      <c r="A2" s="265" t="s">
        <v>91</v>
      </c>
    </row>
    <row r="3" spans="1:18" x14ac:dyDescent="0.3">
      <c r="A3" s="265" t="s">
        <v>93</v>
      </c>
    </row>
    <row r="4" spans="1:18" x14ac:dyDescent="0.3">
      <c r="A4" s="265" t="s">
        <v>96</v>
      </c>
    </row>
    <row r="5" spans="1:18" x14ac:dyDescent="0.3">
      <c r="A5" s="68" t="s">
        <v>31</v>
      </c>
      <c r="B5" s="69" t="s">
        <v>33</v>
      </c>
      <c r="C5" s="69" t="s">
        <v>34</v>
      </c>
      <c r="D5" s="69" t="s">
        <v>35</v>
      </c>
      <c r="F5" s="65" t="s">
        <v>3</v>
      </c>
      <c r="G5" s="266">
        <v>61.95</v>
      </c>
    </row>
    <row r="6" spans="1:18" x14ac:dyDescent="0.3">
      <c r="A6" s="271" t="s">
        <v>4</v>
      </c>
      <c r="B6" s="272">
        <v>0.6</v>
      </c>
      <c r="C6" s="272">
        <v>27.8</v>
      </c>
      <c r="D6" s="272">
        <v>82.3</v>
      </c>
      <c r="F6" s="66" t="s">
        <v>2</v>
      </c>
      <c r="G6" s="267">
        <v>0.1</v>
      </c>
    </row>
    <row r="7" spans="1:18" x14ac:dyDescent="0.3">
      <c r="A7" s="271" t="s">
        <v>36</v>
      </c>
      <c r="B7" s="273">
        <v>0.02</v>
      </c>
      <c r="C7" s="273">
        <v>0.02</v>
      </c>
      <c r="D7" s="273">
        <v>0.02</v>
      </c>
      <c r="F7" s="66" t="s">
        <v>1</v>
      </c>
      <c r="G7" s="268">
        <v>40</v>
      </c>
    </row>
    <row r="8" spans="1:18" x14ac:dyDescent="0.3">
      <c r="A8" s="271" t="s">
        <v>30</v>
      </c>
      <c r="B8" s="274">
        <f>-PV($G$6,$G$7,B6*B7)</f>
        <v>0.1173486086217384</v>
      </c>
      <c r="C8" s="32">
        <f>-PV($G$6,$G$7,C6*C7)</f>
        <v>5.4371521994738794</v>
      </c>
      <c r="D8" s="32">
        <f>-PV($G$6,$G$7,D6*D7)</f>
        <v>16.096317482615117</v>
      </c>
      <c r="F8" s="66" t="s">
        <v>6</v>
      </c>
      <c r="G8" s="267">
        <v>0.2</v>
      </c>
    </row>
    <row r="9" spans="1:18" x14ac:dyDescent="0.3">
      <c r="A9" s="271" t="s">
        <v>32</v>
      </c>
      <c r="B9" s="274">
        <f>B6+B8</f>
        <v>0.71734860862173844</v>
      </c>
      <c r="C9" s="32">
        <f>C6+C8</f>
        <v>33.237152199473883</v>
      </c>
      <c r="D9" s="32">
        <f>D6+D8</f>
        <v>98.396317482615117</v>
      </c>
      <c r="F9" s="66" t="s">
        <v>7</v>
      </c>
      <c r="G9" s="267">
        <v>0.2</v>
      </c>
    </row>
    <row r="10" spans="1:18" x14ac:dyDescent="0.3">
      <c r="A10" s="271" t="s">
        <v>15</v>
      </c>
      <c r="B10" s="274">
        <f>-PMT($G$6,$G$7,B9)</f>
        <v>7.3355648648621694E-2</v>
      </c>
      <c r="C10" s="32">
        <f>-PMT($G$6,$G$7,C9)</f>
        <v>3.3988117207194719</v>
      </c>
      <c r="D10" s="32">
        <f>-PMT($G$6,$G$7,D9)</f>
        <v>10.061949806302609</v>
      </c>
      <c r="F10" s="66" t="s">
        <v>8</v>
      </c>
      <c r="G10" s="267">
        <v>0.2</v>
      </c>
    </row>
    <row r="11" spans="1:18" x14ac:dyDescent="0.3">
      <c r="B11" s="270"/>
      <c r="C11" s="270"/>
      <c r="D11" s="270"/>
      <c r="F11" s="66" t="s">
        <v>9</v>
      </c>
      <c r="G11" s="267">
        <v>0.2</v>
      </c>
    </row>
    <row r="12" spans="1:18" x14ac:dyDescent="0.3">
      <c r="A12" s="263" t="s">
        <v>28</v>
      </c>
      <c r="B12" s="275">
        <f>SUM(B9:D9)</f>
        <v>132.35081829071075</v>
      </c>
      <c r="C12" s="270"/>
      <c r="D12" s="270"/>
      <c r="F12" s="67" t="s">
        <v>10</v>
      </c>
      <c r="G12" s="269">
        <v>0.2</v>
      </c>
    </row>
    <row r="13" spans="1:18" x14ac:dyDescent="0.3">
      <c r="A13" s="264" t="s">
        <v>29</v>
      </c>
      <c r="B13" s="276">
        <f>-PMT($G$6,$G$7,B12)</f>
        <v>13.534117175670705</v>
      </c>
      <c r="C13" s="270"/>
      <c r="D13" s="270"/>
    </row>
    <row r="15" spans="1:18" ht="15.6" x14ac:dyDescent="0.3">
      <c r="A15" s="397" t="s">
        <v>57</v>
      </c>
      <c r="B15" s="397"/>
      <c r="C15" s="397"/>
      <c r="D15" s="397"/>
      <c r="E15" s="397"/>
      <c r="F15" s="397"/>
      <c r="G15" s="397"/>
      <c r="H15" s="397"/>
      <c r="I15" s="397"/>
      <c r="M15" s="380"/>
      <c r="N15" s="380"/>
      <c r="O15" s="380"/>
      <c r="P15" s="380"/>
      <c r="Q15" s="380"/>
      <c r="R15" s="277"/>
    </row>
    <row r="16" spans="1:18" s="270" customFormat="1" ht="57.6" x14ac:dyDescent="0.3">
      <c r="A16" s="40" t="s">
        <v>5</v>
      </c>
      <c r="B16" s="51" t="s">
        <v>151</v>
      </c>
      <c r="C16" s="51" t="s">
        <v>152</v>
      </c>
      <c r="D16" s="51" t="s">
        <v>153</v>
      </c>
      <c r="E16" s="50" t="s">
        <v>25</v>
      </c>
      <c r="F16" s="50" t="s">
        <v>15</v>
      </c>
      <c r="G16" s="51" t="s">
        <v>155</v>
      </c>
      <c r="H16" s="50" t="s">
        <v>12</v>
      </c>
      <c r="I16" s="50" t="s">
        <v>24</v>
      </c>
      <c r="J16" s="35"/>
      <c r="K16" s="35"/>
      <c r="M16" s="36"/>
      <c r="N16" s="37"/>
      <c r="O16" s="37"/>
      <c r="P16" s="37"/>
      <c r="Q16" s="38"/>
      <c r="R16" s="39"/>
    </row>
    <row r="17" spans="1:18" s="270" customFormat="1" x14ac:dyDescent="0.3">
      <c r="A17" s="72" t="s">
        <v>64</v>
      </c>
      <c r="B17" s="40">
        <f>MAX(B36,B50,B64,B78,B92)</f>
        <v>0</v>
      </c>
      <c r="C17" s="40">
        <f>MAX(C36,C50,C64,C78,C92)</f>
        <v>0</v>
      </c>
      <c r="D17" s="40">
        <f t="shared" ref="D17:D26" si="0">$G$8*D36+$G$9*D50+$G$10*D64+$G$11*D78+$G$12*D92</f>
        <v>0</v>
      </c>
      <c r="E17" s="41">
        <f t="shared" ref="E17:E26" si="1">D17*$G$5/1000</f>
        <v>0</v>
      </c>
      <c r="F17" s="41">
        <f>IF($H17="Y1",$B$10,IF($H17="Y2",$B$10+$C$10,IF($H17="Y",$B$13,IF($H17="N",0))))</f>
        <v>0</v>
      </c>
      <c r="G17" s="41">
        <f>E17-F17</f>
        <v>0</v>
      </c>
      <c r="H17" s="42" t="s">
        <v>14</v>
      </c>
      <c r="I17" s="41">
        <f>IF(OR(H17="Y",H17="Y1",H17="Y2"),E17,0)</f>
        <v>0</v>
      </c>
      <c r="J17" s="43"/>
      <c r="K17" s="43"/>
      <c r="M17" s="44"/>
      <c r="N17" s="45"/>
      <c r="O17" s="45"/>
      <c r="P17" s="45"/>
      <c r="Q17" s="33"/>
      <c r="R17" s="39"/>
    </row>
    <row r="18" spans="1:18" s="270" customFormat="1" x14ac:dyDescent="0.3">
      <c r="A18" s="72" t="s">
        <v>65</v>
      </c>
      <c r="B18" s="40">
        <f t="shared" ref="B18:C26" si="2">MAX(B37,B51,B65,B79,B93)</f>
        <v>0</v>
      </c>
      <c r="C18" s="40">
        <f t="shared" si="2"/>
        <v>0</v>
      </c>
      <c r="D18" s="40">
        <f t="shared" si="0"/>
        <v>0</v>
      </c>
      <c r="E18" s="41">
        <f t="shared" si="1"/>
        <v>0</v>
      </c>
      <c r="F18" s="41">
        <f t="shared" ref="F18:F26" si="3">IF($H18="Y1",$B$10,IF($H18="Y2",$B$10+$C$10,IF($H18="Y",$B$13,IF($H18="N",0))))</f>
        <v>0</v>
      </c>
      <c r="G18" s="41">
        <f t="shared" ref="G18:G26" si="4">E18-F18</f>
        <v>0</v>
      </c>
      <c r="H18" s="42" t="s">
        <v>14</v>
      </c>
      <c r="I18" s="41">
        <f t="shared" ref="I18:I26" si="5">IF(OR(H18="Y",H18="Y1",H18="Y2"),E18,0)</f>
        <v>0</v>
      </c>
      <c r="J18" s="43"/>
      <c r="K18" s="43"/>
      <c r="M18" s="44"/>
      <c r="N18" s="45"/>
      <c r="O18" s="45"/>
      <c r="P18" s="45"/>
      <c r="Q18" s="33"/>
      <c r="R18" s="39"/>
    </row>
    <row r="19" spans="1:18" s="270" customFormat="1" x14ac:dyDescent="0.3">
      <c r="A19" s="72" t="s">
        <v>66</v>
      </c>
      <c r="B19" s="40">
        <f t="shared" si="2"/>
        <v>43.5</v>
      </c>
      <c r="C19" s="40">
        <f t="shared" si="2"/>
        <v>235.40999999999985</v>
      </c>
      <c r="D19" s="40">
        <f t="shared" si="0"/>
        <v>107.95287999999982</v>
      </c>
      <c r="E19" s="41">
        <f t="shared" si="1"/>
        <v>6.687680915999989</v>
      </c>
      <c r="F19" s="41">
        <f t="shared" si="3"/>
        <v>7.3355648648621694E-2</v>
      </c>
      <c r="G19" s="41">
        <f t="shared" si="4"/>
        <v>6.6143252673513677</v>
      </c>
      <c r="H19" s="42" t="s">
        <v>49</v>
      </c>
      <c r="I19" s="41">
        <f t="shared" si="5"/>
        <v>6.687680915999989</v>
      </c>
      <c r="J19" s="43"/>
      <c r="K19" s="43"/>
      <c r="M19" s="44"/>
      <c r="N19" s="45"/>
      <c r="O19" s="45"/>
      <c r="P19" s="45"/>
      <c r="Q19" s="33"/>
      <c r="R19" s="39"/>
    </row>
    <row r="20" spans="1:18" s="270" customFormat="1" x14ac:dyDescent="0.3">
      <c r="A20" s="72" t="s">
        <v>67</v>
      </c>
      <c r="B20" s="40">
        <f t="shared" si="2"/>
        <v>40.400000000000091</v>
      </c>
      <c r="C20" s="40">
        <f t="shared" si="2"/>
        <v>276.59000000000015</v>
      </c>
      <c r="D20" s="40">
        <f t="shared" si="0"/>
        <v>156.99766400000044</v>
      </c>
      <c r="E20" s="41">
        <f t="shared" si="1"/>
        <v>9.726005284800026</v>
      </c>
      <c r="F20" s="41">
        <f t="shared" si="3"/>
        <v>7.3355648648621694E-2</v>
      </c>
      <c r="G20" s="41">
        <f t="shared" si="4"/>
        <v>9.6526496361514038</v>
      </c>
      <c r="H20" s="42" t="s">
        <v>49</v>
      </c>
      <c r="I20" s="41">
        <f t="shared" si="5"/>
        <v>9.726005284800026</v>
      </c>
      <c r="J20" s="43"/>
      <c r="K20" s="43"/>
      <c r="M20" s="44"/>
      <c r="N20" s="45"/>
      <c r="O20" s="45"/>
      <c r="P20" s="45"/>
      <c r="Q20" s="33"/>
      <c r="R20" s="39"/>
    </row>
    <row r="21" spans="1:18" s="270" customFormat="1" x14ac:dyDescent="0.3">
      <c r="A21" s="72" t="s">
        <v>68</v>
      </c>
      <c r="B21" s="40">
        <f t="shared" si="2"/>
        <v>318.52000000000044</v>
      </c>
      <c r="C21" s="40">
        <f t="shared" si="2"/>
        <v>1312.8199999999961</v>
      </c>
      <c r="D21" s="40">
        <f t="shared" si="0"/>
        <v>631.37591999999904</v>
      </c>
      <c r="E21" s="41">
        <f t="shared" si="1"/>
        <v>39.11373824399994</v>
      </c>
      <c r="F21" s="41">
        <f t="shared" si="3"/>
        <v>3.4721673693680937</v>
      </c>
      <c r="G21" s="41">
        <f t="shared" si="4"/>
        <v>35.641570874631846</v>
      </c>
      <c r="H21" s="42" t="s">
        <v>50</v>
      </c>
      <c r="I21" s="41">
        <f t="shared" si="5"/>
        <v>39.11373824399994</v>
      </c>
      <c r="J21" s="43"/>
      <c r="K21" s="43"/>
      <c r="M21" s="44"/>
      <c r="N21" s="45"/>
      <c r="O21" s="45"/>
      <c r="P21" s="45"/>
      <c r="Q21" s="33"/>
      <c r="R21" s="39"/>
    </row>
    <row r="22" spans="1:18" s="270" customFormat="1" x14ac:dyDescent="0.3">
      <c r="A22" s="72" t="s">
        <v>69</v>
      </c>
      <c r="B22" s="40">
        <f t="shared" si="2"/>
        <v>306.2399999999999</v>
      </c>
      <c r="C22" s="40">
        <f t="shared" si="2"/>
        <v>1512.2399999999998</v>
      </c>
      <c r="D22" s="40">
        <f t="shared" si="0"/>
        <v>691.36847999999895</v>
      </c>
      <c r="E22" s="41">
        <f t="shared" si="1"/>
        <v>42.830277335999931</v>
      </c>
      <c r="F22" s="41">
        <f t="shared" si="3"/>
        <v>3.4721673693680937</v>
      </c>
      <c r="G22" s="41">
        <f t="shared" si="4"/>
        <v>39.358109966631837</v>
      </c>
      <c r="H22" s="42" t="s">
        <v>50</v>
      </c>
      <c r="I22" s="41">
        <f t="shared" si="5"/>
        <v>42.830277335999931</v>
      </c>
      <c r="J22" s="43"/>
      <c r="K22" s="43"/>
      <c r="M22" s="44"/>
      <c r="N22" s="45"/>
      <c r="O22" s="45"/>
      <c r="P22" s="45"/>
      <c r="Q22" s="33"/>
      <c r="R22" s="39"/>
    </row>
    <row r="23" spans="1:18" s="270" customFormat="1" x14ac:dyDescent="0.3">
      <c r="A23" s="72" t="s">
        <v>70</v>
      </c>
      <c r="B23" s="40">
        <f t="shared" si="2"/>
        <v>302.52000000000021</v>
      </c>
      <c r="C23" s="40">
        <f t="shared" si="2"/>
        <v>2402.1599999999962</v>
      </c>
      <c r="D23" s="40">
        <f t="shared" si="0"/>
        <v>954.94361599999911</v>
      </c>
      <c r="E23" s="41">
        <f t="shared" si="1"/>
        <v>59.158757011199945</v>
      </c>
      <c r="F23" s="41">
        <f t="shared" si="3"/>
        <v>13.534117175670705</v>
      </c>
      <c r="G23" s="41">
        <f t="shared" si="4"/>
        <v>45.624639835529237</v>
      </c>
      <c r="H23" s="46" t="s">
        <v>13</v>
      </c>
      <c r="I23" s="41">
        <f t="shared" si="5"/>
        <v>59.158757011199945</v>
      </c>
      <c r="J23" s="43"/>
      <c r="K23" s="43"/>
      <c r="M23" s="44"/>
      <c r="N23" s="45"/>
      <c r="O23" s="45"/>
      <c r="P23" s="45"/>
      <c r="Q23" s="33"/>
      <c r="R23" s="39"/>
    </row>
    <row r="24" spans="1:18" s="270" customFormat="1" x14ac:dyDescent="0.3">
      <c r="A24" s="72" t="s">
        <v>71</v>
      </c>
      <c r="B24" s="40">
        <f t="shared" si="2"/>
        <v>341.38</v>
      </c>
      <c r="C24" s="40">
        <f t="shared" si="2"/>
        <v>2927.3299999999945</v>
      </c>
      <c r="D24" s="40">
        <f t="shared" si="0"/>
        <v>1059.4221279999995</v>
      </c>
      <c r="E24" s="41">
        <f t="shared" si="1"/>
        <v>65.631200829599976</v>
      </c>
      <c r="F24" s="41">
        <f t="shared" si="3"/>
        <v>13.534117175670705</v>
      </c>
      <c r="G24" s="41">
        <f t="shared" si="4"/>
        <v>52.097083653929275</v>
      </c>
      <c r="H24" s="46" t="s">
        <v>13</v>
      </c>
      <c r="I24" s="41">
        <f t="shared" si="5"/>
        <v>65.631200829599976</v>
      </c>
      <c r="J24" s="43"/>
      <c r="K24" s="43"/>
      <c r="M24" s="44"/>
      <c r="N24" s="45"/>
      <c r="O24" s="45"/>
      <c r="P24" s="45"/>
      <c r="Q24" s="33"/>
      <c r="R24" s="39"/>
    </row>
    <row r="25" spans="1:18" s="270" customFormat="1" x14ac:dyDescent="0.3">
      <c r="A25" s="72" t="s">
        <v>72</v>
      </c>
      <c r="B25" s="40">
        <f t="shared" si="2"/>
        <v>308.52999999999997</v>
      </c>
      <c r="C25" s="40">
        <f t="shared" si="2"/>
        <v>3242.850000000004</v>
      </c>
      <c r="D25" s="40">
        <f t="shared" si="0"/>
        <v>984.92033599999957</v>
      </c>
      <c r="E25" s="41">
        <f t="shared" si="1"/>
        <v>61.015814815199981</v>
      </c>
      <c r="F25" s="41">
        <f t="shared" si="3"/>
        <v>13.534117175670705</v>
      </c>
      <c r="G25" s="41">
        <f t="shared" si="4"/>
        <v>47.481697639529273</v>
      </c>
      <c r="H25" s="46" t="s">
        <v>13</v>
      </c>
      <c r="I25" s="41">
        <f t="shared" si="5"/>
        <v>61.015814815199981</v>
      </c>
      <c r="J25" s="43"/>
      <c r="K25" s="43"/>
      <c r="M25" s="44"/>
      <c r="N25" s="45"/>
      <c r="O25" s="45"/>
      <c r="P25" s="45"/>
      <c r="Q25" s="33"/>
      <c r="R25" s="39"/>
    </row>
    <row r="26" spans="1:18" s="270" customFormat="1" x14ac:dyDescent="0.3">
      <c r="A26" s="72" t="s">
        <v>73</v>
      </c>
      <c r="B26" s="40">
        <f t="shared" si="2"/>
        <v>321.0200000000001</v>
      </c>
      <c r="C26" s="40">
        <f t="shared" si="2"/>
        <v>4411.1399999999994</v>
      </c>
      <c r="D26" s="40">
        <f t="shared" si="0"/>
        <v>1179.8514720000003</v>
      </c>
      <c r="E26" s="41">
        <f t="shared" si="1"/>
        <v>73.091798690400026</v>
      </c>
      <c r="F26" s="41">
        <f t="shared" si="3"/>
        <v>13.534117175670705</v>
      </c>
      <c r="G26" s="41">
        <f t="shared" si="4"/>
        <v>59.557681514729325</v>
      </c>
      <c r="H26" s="46" t="s">
        <v>13</v>
      </c>
      <c r="I26" s="41">
        <f t="shared" si="5"/>
        <v>73.091798690400026</v>
      </c>
      <c r="J26" s="43"/>
      <c r="K26" s="43"/>
      <c r="M26" s="44"/>
      <c r="N26" s="45"/>
      <c r="O26" s="45"/>
      <c r="P26" s="45"/>
      <c r="Q26" s="33"/>
      <c r="R26" s="39"/>
    </row>
    <row r="27" spans="1:18" s="270" customFormat="1" x14ac:dyDescent="0.3">
      <c r="G27" s="57"/>
      <c r="H27" s="39">
        <f>SUM(COUNTIF(H17:H26,{"Y","Y1","Y2"}))</f>
        <v>8</v>
      </c>
      <c r="I27" s="47">
        <f>-PV($G$6,$G$7-H27,I26)</f>
        <v>696.29992705997518</v>
      </c>
      <c r="J27" s="56" t="s">
        <v>11</v>
      </c>
      <c r="K27" s="47"/>
      <c r="L27" s="39"/>
      <c r="M27" s="39"/>
      <c r="Q27" s="45"/>
    </row>
    <row r="28" spans="1:18" s="351" customFormat="1" ht="15" thickBot="1" x14ac:dyDescent="0.35">
      <c r="G28" s="57"/>
      <c r="H28" s="39"/>
      <c r="I28" s="61">
        <f>NPV($G$6,I17:I25,I26+I27)</f>
        <v>443.6163897413839</v>
      </c>
      <c r="J28" s="56" t="s">
        <v>23</v>
      </c>
      <c r="K28" s="47"/>
      <c r="L28" s="39"/>
      <c r="M28" s="39"/>
      <c r="Q28" s="45"/>
    </row>
    <row r="29" spans="1:18" s="270" customFormat="1" ht="15" thickTop="1" x14ac:dyDescent="0.3">
      <c r="I29" s="47"/>
      <c r="J29" s="39"/>
      <c r="K29" s="47"/>
      <c r="L29" s="39"/>
      <c r="M29" s="39"/>
    </row>
    <row r="30" spans="1:18" s="270" customFormat="1" ht="43.2" x14ac:dyDescent="0.3">
      <c r="A30" s="34"/>
      <c r="B30" s="63" t="s">
        <v>16</v>
      </c>
      <c r="C30" s="63" t="s">
        <v>17</v>
      </c>
      <c r="D30" s="63" t="s">
        <v>18</v>
      </c>
      <c r="E30" s="63" t="s">
        <v>19</v>
      </c>
      <c r="F30" s="63" t="s">
        <v>20</v>
      </c>
      <c r="G30" s="63" t="s">
        <v>21</v>
      </c>
      <c r="H30" s="64" t="s">
        <v>28</v>
      </c>
      <c r="I30" s="64" t="s">
        <v>37</v>
      </c>
      <c r="K30" s="39"/>
      <c r="L30" s="39"/>
      <c r="M30" s="39"/>
    </row>
    <row r="31" spans="1:18" s="270" customFormat="1" x14ac:dyDescent="0.3">
      <c r="A31" s="262" t="s">
        <v>22</v>
      </c>
      <c r="B31" s="48">
        <f>NPV($G$6,F36:F44,F45+F46)/1000</f>
        <v>312.06388974995548</v>
      </c>
      <c r="C31" s="48">
        <f>NPV($G$6,F50:F58,F59+F60)/1000</f>
        <v>814.29950705968838</v>
      </c>
      <c r="D31" s="48">
        <f>NPV($G$6,F64:F72,F73+F74)/1000</f>
        <v>314.52912745322897</v>
      </c>
      <c r="E31" s="48">
        <f>NPV($G$6,F78:F86,F87+F88)/1000</f>
        <v>570.97992696885774</v>
      </c>
      <c r="F31" s="48">
        <f>NPV($G$6,F92:F100,F101+F102)/1000</f>
        <v>206.20949747518927</v>
      </c>
      <c r="G31" s="49">
        <f>B31*G8+C31*G9+D31*G10+E31*G11+F31*G12</f>
        <v>443.61638974138395</v>
      </c>
      <c r="H31" s="274">
        <f>B12</f>
        <v>132.35081829071075</v>
      </c>
      <c r="I31" s="48">
        <f>G31-H31</f>
        <v>311.26557145067318</v>
      </c>
    </row>
    <row r="32" spans="1:18" s="270" customFormat="1" x14ac:dyDescent="0.3">
      <c r="I32" s="278"/>
    </row>
    <row r="33" spans="1:14" s="270" customFormat="1" x14ac:dyDescent="0.3"/>
    <row r="34" spans="1:14" s="270" customFormat="1" ht="15.6" x14ac:dyDescent="0.3">
      <c r="A34" s="409" t="s">
        <v>52</v>
      </c>
      <c r="B34" s="410"/>
      <c r="C34" s="410"/>
      <c r="D34" s="410"/>
      <c r="E34" s="410"/>
      <c r="F34" s="411"/>
      <c r="H34" s="406" t="s">
        <v>59</v>
      </c>
      <c r="I34" s="406"/>
      <c r="J34" s="406"/>
      <c r="K34" s="406"/>
      <c r="L34" s="406"/>
    </row>
    <row r="35" spans="1:14" s="270" customFormat="1" ht="57.6" x14ac:dyDescent="0.3">
      <c r="A35" s="260" t="s">
        <v>5</v>
      </c>
      <c r="B35" s="51" t="s">
        <v>151</v>
      </c>
      <c r="C35" s="51" t="s">
        <v>152</v>
      </c>
      <c r="D35" s="51" t="s">
        <v>153</v>
      </c>
      <c r="E35" s="51" t="s">
        <v>12</v>
      </c>
      <c r="F35" s="51" t="s">
        <v>134</v>
      </c>
      <c r="H35" s="260" t="s">
        <v>5</v>
      </c>
      <c r="I35" s="51" t="s">
        <v>75</v>
      </c>
      <c r="J35" s="51" t="s">
        <v>51</v>
      </c>
      <c r="K35" s="50" t="s">
        <v>0</v>
      </c>
      <c r="L35" s="51" t="s">
        <v>58</v>
      </c>
    </row>
    <row r="36" spans="1:14" s="270" customFormat="1" x14ac:dyDescent="0.3">
      <c r="A36" s="72" t="s">
        <v>64</v>
      </c>
      <c r="B36" s="40">
        <f>IF($E36="Y1",'WindMonitoring_BATS-BETS'!B35,IF($E36="Y2",'WindMonitoring_BATS-BETS'!B35+'Third_Line_MLTS-BATS'!B35,IF($E36="Y",Base!B32-Option4b!I36,IF($E36="N",0))))</f>
        <v>0</v>
      </c>
      <c r="C36" s="385">
        <f>IF($E36="Y1",'WindMonitoring_BATS-BETS'!C35,IF($E36="Y2",'WindMonitoring_BATS-BETS'!C35+'Third_Line_MLTS-BATS'!C35,IF($E36="Y",Base!C32-Option4b!J36,IF($E36="N",0))))</f>
        <v>0</v>
      </c>
      <c r="D36" s="385">
        <f>IF($E36="Y1",'WindMonitoring_BATS-BETS'!D35,IF($E36="Y2",'WindMonitoring_BATS-BETS'!D35+'Third_Line_MLTS-BATS'!D35,IF($E36="Y",Base!D32-Option4b!K36,IF($E36="N",0))))</f>
        <v>0</v>
      </c>
      <c r="E36" s="261" t="str">
        <f t="shared" ref="E36:E45" si="6">H17</f>
        <v>N</v>
      </c>
      <c r="F36" s="52">
        <f>IF(OR(E36="Y",E36="Y1",E36="Y2"),D36*$G$5,0)</f>
        <v>0</v>
      </c>
      <c r="H36" s="72" t="s">
        <v>64</v>
      </c>
      <c r="I36" s="40">
        <v>553.59</v>
      </c>
      <c r="J36" s="40">
        <v>8763.4800000000014</v>
      </c>
      <c r="K36" s="40">
        <v>7320.4771199999996</v>
      </c>
      <c r="L36" s="40">
        <f t="shared" ref="L36:L45" si="7">K36*$G$5</f>
        <v>453503.55758399999</v>
      </c>
      <c r="N36" s="53"/>
    </row>
    <row r="37" spans="1:14" s="270" customFormat="1" x14ac:dyDescent="0.3">
      <c r="A37" s="72" t="s">
        <v>65</v>
      </c>
      <c r="B37" s="387">
        <f>IF($E37="Y1",'WindMonitoring_BATS-BETS'!B36,IF($E37="Y2",'WindMonitoring_BATS-BETS'!B36+'Third_Line_MLTS-BATS'!B36,IF($E37="Y",Base!B33-Option4b!I37,IF($E37="N",0))))</f>
        <v>0</v>
      </c>
      <c r="C37" s="387">
        <f>IF($E37="Y1",'WindMonitoring_BATS-BETS'!C36,IF($E37="Y2",'WindMonitoring_BATS-BETS'!C36+'Third_Line_MLTS-BATS'!C36,IF($E37="Y",Base!C33-Option4b!J37,IF($E37="N",0))))</f>
        <v>0</v>
      </c>
      <c r="D37" s="387">
        <f>IF($E37="Y1",'WindMonitoring_BATS-BETS'!D36,IF($E37="Y2",'WindMonitoring_BATS-BETS'!D36+'Third_Line_MLTS-BATS'!D36,IF($E37="Y",Base!D33-Option4b!K37,IF($E37="N",0))))</f>
        <v>0</v>
      </c>
      <c r="E37" s="261" t="str">
        <f t="shared" si="6"/>
        <v>N</v>
      </c>
      <c r="F37" s="52">
        <f t="shared" ref="F37:F45" si="8">IF(OR(E37="Y",E37="Y1",E37="Y2"),D37*$G$5,0)</f>
        <v>0</v>
      </c>
      <c r="H37" s="72" t="s">
        <v>65</v>
      </c>
      <c r="I37" s="40">
        <v>597.82000000000005</v>
      </c>
      <c r="J37" s="40">
        <v>8920.630000000001</v>
      </c>
      <c r="K37" s="40">
        <v>7324.1869599999991</v>
      </c>
      <c r="L37" s="40">
        <f t="shared" si="7"/>
        <v>453733.38217199995</v>
      </c>
    </row>
    <row r="38" spans="1:14" s="270" customFormat="1" x14ac:dyDescent="0.3">
      <c r="A38" s="72" t="s">
        <v>66</v>
      </c>
      <c r="B38" s="387">
        <f>IF($E38="Y1",'WindMonitoring_BATS-BETS'!B37,IF($E38="Y2",'WindMonitoring_BATS-BETS'!B37+'Third_Line_MLTS-BATS'!B37,IF($E38="Y",Base!B34-Option4b!I38,IF($E38="N",0))))</f>
        <v>41.490000000000009</v>
      </c>
      <c r="C38" s="387">
        <f>IF($E38="Y1",'WindMonitoring_BATS-BETS'!C37,IF($E38="Y2",'WindMonitoring_BATS-BETS'!C37+'Third_Line_MLTS-BATS'!C37,IF($E38="Y",Base!C34-Option4b!J38,IF($E38="N",0))))</f>
        <v>156.84999999999854</v>
      </c>
      <c r="D38" s="387">
        <f>IF($E38="Y1",'WindMonitoring_BATS-BETS'!D37,IF($E38="Y2",'WindMonitoring_BATS-BETS'!D37+'Third_Line_MLTS-BATS'!D37,IF($E38="Y",Base!D34-Option4b!K38,IF($E38="N",0))))</f>
        <v>121.98735999999826</v>
      </c>
      <c r="E38" s="261" t="str">
        <f t="shared" si="6"/>
        <v>Y1</v>
      </c>
      <c r="F38" s="52">
        <f t="shared" si="8"/>
        <v>7557.116951999893</v>
      </c>
      <c r="H38" s="72" t="s">
        <v>66</v>
      </c>
      <c r="I38" s="40">
        <v>664.38</v>
      </c>
      <c r="J38" s="40">
        <v>9325.0300000000007</v>
      </c>
      <c r="K38" s="40">
        <v>7568.1867999999995</v>
      </c>
      <c r="L38" s="40">
        <f t="shared" si="7"/>
        <v>468849.17225999996</v>
      </c>
    </row>
    <row r="39" spans="1:14" s="270" customFormat="1" x14ac:dyDescent="0.3">
      <c r="A39" s="72" t="s">
        <v>67</v>
      </c>
      <c r="B39" s="387">
        <f>IF($E39="Y1",'WindMonitoring_BATS-BETS'!B38,IF($E39="Y2",'WindMonitoring_BATS-BETS'!B38+'Third_Line_MLTS-BATS'!B38,IF($E39="Y",Base!B35-Option4b!I39,IF($E39="N",0))))</f>
        <v>30.360000000000014</v>
      </c>
      <c r="C39" s="387">
        <f>IF($E39="Y1",'WindMonitoring_BATS-BETS'!C38,IF($E39="Y2",'WindMonitoring_BATS-BETS'!C38+'Third_Line_MLTS-BATS'!C38,IF($E39="Y",Base!C35-Option4b!J39,IF($E39="N",0))))</f>
        <v>140.79000000000087</v>
      </c>
      <c r="D39" s="387">
        <f>IF($E39="Y1",'WindMonitoring_BATS-BETS'!D38,IF($E39="Y2",'WindMonitoring_BATS-BETS'!D38+'Third_Line_MLTS-BATS'!D38,IF($E39="Y",Base!D35-Option4b!K39,IF($E39="N",0))))</f>
        <v>147.13752000000022</v>
      </c>
      <c r="E39" s="261" t="str">
        <f t="shared" si="6"/>
        <v>Y1</v>
      </c>
      <c r="F39" s="52">
        <f t="shared" si="8"/>
        <v>9115.169364000014</v>
      </c>
      <c r="H39" s="72" t="s">
        <v>67</v>
      </c>
      <c r="I39" s="40">
        <v>700.25</v>
      </c>
      <c r="J39" s="40">
        <v>9479</v>
      </c>
      <c r="K39" s="40">
        <v>7596.6123200000002</v>
      </c>
      <c r="L39" s="40">
        <f t="shared" si="7"/>
        <v>470610.13322400005</v>
      </c>
    </row>
    <row r="40" spans="1:14" s="270" customFormat="1" x14ac:dyDescent="0.3">
      <c r="A40" s="72" t="s">
        <v>68</v>
      </c>
      <c r="B40" s="387">
        <f>IF($E40="Y1",'WindMonitoring_BATS-BETS'!B39,IF($E40="Y2",'WindMonitoring_BATS-BETS'!B39+'Third_Line_MLTS-BATS'!B39,IF($E40="Y",Base!B36-Option4b!I40,IF($E40="N",0))))</f>
        <v>263.47000000000003</v>
      </c>
      <c r="C40" s="387">
        <f>IF($E40="Y1",'WindMonitoring_BATS-BETS'!C39,IF($E40="Y2",'WindMonitoring_BATS-BETS'!C39+'Third_Line_MLTS-BATS'!C39,IF($E40="Y",Base!C36-Option4b!J40,IF($E40="N",0))))</f>
        <v>612.01999999999862</v>
      </c>
      <c r="D40" s="387">
        <f>IF($E40="Y1",'WindMonitoring_BATS-BETS'!D39,IF($E40="Y2",'WindMonitoring_BATS-BETS'!D39+'Third_Line_MLTS-BATS'!D39,IF($E40="Y",Base!D36-Option4b!K40,IF($E40="N",0))))</f>
        <v>371.54751999999826</v>
      </c>
      <c r="E40" s="261" t="str">
        <f t="shared" si="6"/>
        <v>Y2</v>
      </c>
      <c r="F40" s="52">
        <f t="shared" si="8"/>
        <v>23017.368863999895</v>
      </c>
      <c r="H40" s="72" t="s">
        <v>68</v>
      </c>
      <c r="I40" s="40">
        <v>797.07</v>
      </c>
      <c r="J40" s="40">
        <v>9809.8100000000013</v>
      </c>
      <c r="K40" s="40">
        <v>7711.8154400000003</v>
      </c>
      <c r="L40" s="40">
        <f t="shared" si="7"/>
        <v>477746.96650800004</v>
      </c>
    </row>
    <row r="41" spans="1:14" s="270" customFormat="1" x14ac:dyDescent="0.3">
      <c r="A41" s="72" t="s">
        <v>69</v>
      </c>
      <c r="B41" s="387">
        <f>IF($E41="Y1",'WindMonitoring_BATS-BETS'!B40,IF($E41="Y2",'WindMonitoring_BATS-BETS'!B40+'Third_Line_MLTS-BATS'!B40,IF($E41="Y",Base!B37-Option4b!I41,IF($E41="N",0))))</f>
        <v>209.45000000000027</v>
      </c>
      <c r="C41" s="387">
        <f>IF($E41="Y1",'WindMonitoring_BATS-BETS'!C40,IF($E41="Y2",'WindMonitoring_BATS-BETS'!C40+'Third_Line_MLTS-BATS'!C40,IF($E41="Y",Base!C37-Option4b!J41,IF($E41="N",0))))</f>
        <v>422.60999999999513</v>
      </c>
      <c r="D41" s="387">
        <f>IF($E41="Y1",'WindMonitoring_BATS-BETS'!D40,IF($E41="Y2",'WindMonitoring_BATS-BETS'!D40+'Third_Line_MLTS-BATS'!D40,IF($E41="Y",Base!D37-Option4b!K41,IF($E41="N",0))))</f>
        <v>337.82487999999648</v>
      </c>
      <c r="E41" s="261" t="str">
        <f t="shared" si="6"/>
        <v>Y2</v>
      </c>
      <c r="F41" s="52">
        <f t="shared" si="8"/>
        <v>20928.251315999783</v>
      </c>
      <c r="H41" s="72" t="s">
        <v>69</v>
      </c>
      <c r="I41" s="40">
        <v>919.63</v>
      </c>
      <c r="J41" s="40">
        <v>10611.719999999998</v>
      </c>
      <c r="K41" s="40">
        <v>8133.3475199999993</v>
      </c>
      <c r="L41" s="40">
        <f t="shared" si="7"/>
        <v>503860.87886399997</v>
      </c>
    </row>
    <row r="42" spans="1:14" s="270" customFormat="1" x14ac:dyDescent="0.3">
      <c r="A42" s="72" t="s">
        <v>70</v>
      </c>
      <c r="B42" s="387">
        <f>IF($E42="Y1",'WindMonitoring_BATS-BETS'!B41,IF($E42="Y2",'WindMonitoring_BATS-BETS'!B41+'Third_Line_MLTS-BATS'!B41,IF($E42="Y",Base!B38-Option4b!I42,IF($E42="N",0))))</f>
        <v>205.01999999999998</v>
      </c>
      <c r="C42" s="387">
        <f>IF($E42="Y1",'WindMonitoring_BATS-BETS'!C41,IF($E42="Y2",'WindMonitoring_BATS-BETS'!C41+'Third_Line_MLTS-BATS'!C41,IF($E42="Y",Base!C38-Option4b!J42,IF($E42="N",0))))</f>
        <v>1310.42</v>
      </c>
      <c r="D42" s="387">
        <f>IF($E42="Y1",'WindMonitoring_BATS-BETS'!D41,IF($E42="Y2",'WindMonitoring_BATS-BETS'!D41+'Third_Line_MLTS-BATS'!D41,IF($E42="Y",Base!D38-Option4b!K42,IF($E42="N",0))))</f>
        <v>865.19576000000052</v>
      </c>
      <c r="E42" s="261" t="str">
        <f t="shared" si="6"/>
        <v>Y</v>
      </c>
      <c r="F42" s="52">
        <f t="shared" si="8"/>
        <v>53598.877332000033</v>
      </c>
      <c r="H42" s="72" t="s">
        <v>70</v>
      </c>
      <c r="I42" s="40">
        <v>1011.3299999999999</v>
      </c>
      <c r="J42" s="40">
        <v>11798.81</v>
      </c>
      <c r="K42" s="40">
        <v>8605.25576</v>
      </c>
      <c r="L42" s="40">
        <f t="shared" si="7"/>
        <v>533095.59433200001</v>
      </c>
    </row>
    <row r="43" spans="1:14" s="270" customFormat="1" x14ac:dyDescent="0.3">
      <c r="A43" s="72" t="s">
        <v>71</v>
      </c>
      <c r="B43" s="387">
        <f>IF($E43="Y1",'WindMonitoring_BATS-BETS'!B42,IF($E43="Y2",'WindMonitoring_BATS-BETS'!B42+'Third_Line_MLTS-BATS'!B42,IF($E43="Y",Base!B39-Option4b!I43,IF($E43="N",0))))</f>
        <v>-33.6099999999999</v>
      </c>
      <c r="C43" s="387">
        <f>IF($E43="Y1",'WindMonitoring_BATS-BETS'!C42,IF($E43="Y2",'WindMonitoring_BATS-BETS'!C42+'Third_Line_MLTS-BATS'!C42,IF($E43="Y",Base!C39-Option4b!J43,IF($E43="N",0))))</f>
        <v>1444.0699999999979</v>
      </c>
      <c r="D43" s="387">
        <f>IF($E43="Y1",'WindMonitoring_BATS-BETS'!D42,IF($E43="Y2",'WindMonitoring_BATS-BETS'!D42+'Third_Line_MLTS-BATS'!D42,IF($E43="Y",Base!D39-Option4b!K43,IF($E43="N",0))))</f>
        <v>965.12455999999838</v>
      </c>
      <c r="E43" s="261" t="str">
        <f t="shared" si="6"/>
        <v>Y</v>
      </c>
      <c r="F43" s="52">
        <f t="shared" si="8"/>
        <v>59789.466491999905</v>
      </c>
      <c r="H43" s="72" t="s">
        <v>71</v>
      </c>
      <c r="I43" s="40">
        <v>1305.82</v>
      </c>
      <c r="J43" s="40">
        <v>13028.34</v>
      </c>
      <c r="K43" s="40">
        <v>9039.6962399999993</v>
      </c>
      <c r="L43" s="40">
        <f t="shared" si="7"/>
        <v>560009.18206799997</v>
      </c>
    </row>
    <row r="44" spans="1:14" s="270" customFormat="1" x14ac:dyDescent="0.3">
      <c r="A44" s="72" t="s">
        <v>72</v>
      </c>
      <c r="B44" s="387">
        <f>IF($E44="Y1",'WindMonitoring_BATS-BETS'!B43,IF($E44="Y2",'WindMonitoring_BATS-BETS'!B43+'Third_Line_MLTS-BATS'!B43,IF($E44="Y",Base!B40-Option4b!I44,IF($E44="N",0))))</f>
        <v>308.52999999999997</v>
      </c>
      <c r="C44" s="387">
        <f>IF($E44="Y1",'WindMonitoring_BATS-BETS'!C43,IF($E44="Y2",'WindMonitoring_BATS-BETS'!C43+'Third_Line_MLTS-BATS'!C43,IF($E44="Y",Base!C40-Option4b!J44,IF($E44="N",0))))</f>
        <v>1274.0199999999986</v>
      </c>
      <c r="D44" s="387">
        <f>IF($E44="Y1",'WindMonitoring_BATS-BETS'!D43,IF($E44="Y2",'WindMonitoring_BATS-BETS'!D43+'Third_Line_MLTS-BATS'!D43,IF($E44="Y",Base!D40-Option4b!K44,IF($E44="N",0))))</f>
        <v>788.2468000000008</v>
      </c>
      <c r="E44" s="261" t="str">
        <f t="shared" si="6"/>
        <v>Y</v>
      </c>
      <c r="F44" s="52">
        <f t="shared" si="8"/>
        <v>48831.889260000054</v>
      </c>
      <c r="H44" s="72" t="s">
        <v>72</v>
      </c>
      <c r="I44" s="40">
        <v>1000.4000000000001</v>
      </c>
      <c r="J44" s="40">
        <v>14327.25</v>
      </c>
      <c r="K44" s="40">
        <v>9477.132239999999</v>
      </c>
      <c r="L44" s="40">
        <f t="shared" si="7"/>
        <v>587108.34226800001</v>
      </c>
    </row>
    <row r="45" spans="1:14" s="270" customFormat="1" x14ac:dyDescent="0.3">
      <c r="A45" s="72" t="s">
        <v>73</v>
      </c>
      <c r="B45" s="387">
        <f>IF($E45="Y1",'WindMonitoring_BATS-BETS'!B44,IF($E45="Y2",'WindMonitoring_BATS-BETS'!B44+'Third_Line_MLTS-BATS'!B44,IF($E45="Y",Base!B41-Option4b!I45,IF($E45="N",0))))</f>
        <v>141.87999999999988</v>
      </c>
      <c r="C45" s="387">
        <f>IF($E45="Y1",'WindMonitoring_BATS-BETS'!C44,IF($E45="Y2",'WindMonitoring_BATS-BETS'!C44+'Third_Line_MLTS-BATS'!C44,IF($E45="Y",Base!C41-Option4b!J45,IF($E45="N",0))))</f>
        <v>1126.9400000000023</v>
      </c>
      <c r="D45" s="387">
        <f>IF($E45="Y1",'WindMonitoring_BATS-BETS'!D44,IF($E45="Y2",'WindMonitoring_BATS-BETS'!D44+'Third_Line_MLTS-BATS'!D44,IF($E45="Y",Base!D41-Option4b!K45,IF($E45="N",0))))</f>
        <v>787.33376000000135</v>
      </c>
      <c r="E45" s="261" t="str">
        <f t="shared" si="6"/>
        <v>Y</v>
      </c>
      <c r="F45" s="52">
        <f t="shared" si="8"/>
        <v>48775.326432000089</v>
      </c>
      <c r="H45" s="72" t="s">
        <v>73</v>
      </c>
      <c r="I45" s="40">
        <v>1291.3999999999999</v>
      </c>
      <c r="J45" s="40">
        <v>16936.579999999998</v>
      </c>
      <c r="K45" s="40">
        <v>10509.576799999999</v>
      </c>
      <c r="L45" s="40">
        <f t="shared" si="7"/>
        <v>651068.28275999997</v>
      </c>
    </row>
    <row r="46" spans="1:14" s="270" customFormat="1" ht="15" thickBot="1" x14ac:dyDescent="0.35">
      <c r="E46" s="60">
        <f>SUM(COUNTIF(E36:E45,{"Y","Y1","Y2"}))</f>
        <v>8</v>
      </c>
      <c r="F46" s="62">
        <f>-PV($G$6,$G$7-E46,F45)</f>
        <v>464652.07924057823</v>
      </c>
      <c r="G46" s="55" t="s">
        <v>11</v>
      </c>
    </row>
    <row r="47" spans="1:14" s="270" customFormat="1" ht="15" thickTop="1" x14ac:dyDescent="0.3"/>
    <row r="48" spans="1:14" s="270" customFormat="1" ht="15.6" x14ac:dyDescent="0.3">
      <c r="A48" s="409" t="s">
        <v>56</v>
      </c>
      <c r="B48" s="410"/>
      <c r="C48" s="410"/>
      <c r="D48" s="410"/>
      <c r="E48" s="410"/>
      <c r="F48" s="411"/>
      <c r="H48" s="406" t="s">
        <v>60</v>
      </c>
      <c r="I48" s="406"/>
      <c r="J48" s="406"/>
      <c r="K48" s="406"/>
      <c r="L48" s="406"/>
    </row>
    <row r="49" spans="1:12" s="270" customFormat="1" ht="57.6" x14ac:dyDescent="0.3">
      <c r="A49" s="260" t="s">
        <v>5</v>
      </c>
      <c r="B49" s="51" t="s">
        <v>151</v>
      </c>
      <c r="C49" s="51" t="s">
        <v>152</v>
      </c>
      <c r="D49" s="51" t="s">
        <v>153</v>
      </c>
      <c r="E49" s="51" t="s">
        <v>12</v>
      </c>
      <c r="F49" s="51" t="s">
        <v>134</v>
      </c>
      <c r="H49" s="260" t="s">
        <v>5</v>
      </c>
      <c r="I49" s="51" t="s">
        <v>75</v>
      </c>
      <c r="J49" s="51" t="s">
        <v>51</v>
      </c>
      <c r="K49" s="50" t="s">
        <v>0</v>
      </c>
      <c r="L49" s="51" t="s">
        <v>58</v>
      </c>
    </row>
    <row r="50" spans="1:12" s="270" customFormat="1" x14ac:dyDescent="0.3">
      <c r="A50" s="72" t="s">
        <v>64</v>
      </c>
      <c r="B50" s="387">
        <f>IF($E50="Y1",'WindMonitoring_BATS-BETS'!B49,IF($E50="Y2",'WindMonitoring_BATS-BETS'!B49+'Third_Line_MLTS-BATS'!B49,IF($E50="Y",Base!B46-Option4b!I50,IF($E50="N",0))))</f>
        <v>0</v>
      </c>
      <c r="C50" s="387">
        <f>IF($E50="Y1",'WindMonitoring_BATS-BETS'!C49,IF($E50="Y2",'WindMonitoring_BATS-BETS'!C49+'Third_Line_MLTS-BATS'!C49,IF($E50="Y",Base!C46-Option4b!J50,IF($E50="N",0))))</f>
        <v>0</v>
      </c>
      <c r="D50" s="387">
        <f>IF($E50="Y1",'WindMonitoring_BATS-BETS'!D49,IF($E50="Y2",'WindMonitoring_BATS-BETS'!D49+'Third_Line_MLTS-BATS'!D49,IF($E50="Y",Base!D46-Option4b!K50,IF($E50="N",0))))</f>
        <v>0</v>
      </c>
      <c r="E50" s="261" t="str">
        <f>E36</f>
        <v>N</v>
      </c>
      <c r="F50" s="52">
        <f>IF(OR(E50="Y",E50="Y1",E50="Y2"),D50*$G$5,0)</f>
        <v>0</v>
      </c>
      <c r="H50" s="72" t="s">
        <v>64</v>
      </c>
      <c r="I50" s="40">
        <v>553.59</v>
      </c>
      <c r="J50" s="40">
        <v>8763.4800000000014</v>
      </c>
      <c r="K50" s="40">
        <v>7320.4771199999996</v>
      </c>
      <c r="L50" s="40">
        <f t="shared" ref="L50:L59" si="9">K50*$G$5</f>
        <v>453503.55758399999</v>
      </c>
    </row>
    <row r="51" spans="1:12" s="270" customFormat="1" x14ac:dyDescent="0.3">
      <c r="A51" s="72" t="s">
        <v>65</v>
      </c>
      <c r="B51" s="387">
        <f>IF($E51="Y1",'WindMonitoring_BATS-BETS'!B50,IF($E51="Y2",'WindMonitoring_BATS-BETS'!B50+'Third_Line_MLTS-BATS'!B50,IF($E51="Y",Base!B47-Option4b!I51,IF($E51="N",0))))</f>
        <v>0</v>
      </c>
      <c r="C51" s="387">
        <f>IF($E51="Y1",'WindMonitoring_BATS-BETS'!C50,IF($E51="Y2",'WindMonitoring_BATS-BETS'!C50+'Third_Line_MLTS-BATS'!C50,IF($E51="Y",Base!C47-Option4b!J51,IF($E51="N",0))))</f>
        <v>0</v>
      </c>
      <c r="D51" s="387">
        <f>IF($E51="Y1",'WindMonitoring_BATS-BETS'!D50,IF($E51="Y2",'WindMonitoring_BATS-BETS'!D50+'Third_Line_MLTS-BATS'!D50,IF($E51="Y",Base!D47-Option4b!K51,IF($E51="N",0))))</f>
        <v>0</v>
      </c>
      <c r="E51" s="261" t="str">
        <f t="shared" ref="E51:E59" si="10">E37</f>
        <v>N</v>
      </c>
      <c r="F51" s="52">
        <f t="shared" ref="F51:F59" si="11">IF(OR(E51="Y",E51="Y1",E51="Y2"),D51*$G$5,0)</f>
        <v>0</v>
      </c>
      <c r="H51" s="72" t="s">
        <v>65</v>
      </c>
      <c r="I51" s="40">
        <v>599.06000000000006</v>
      </c>
      <c r="J51" s="40">
        <v>8923.9499999999989</v>
      </c>
      <c r="K51" s="40">
        <v>7322.8576799999992</v>
      </c>
      <c r="L51" s="40">
        <f t="shared" si="9"/>
        <v>453651.03327599994</v>
      </c>
    </row>
    <row r="52" spans="1:12" s="270" customFormat="1" x14ac:dyDescent="0.3">
      <c r="A52" s="72" t="s">
        <v>66</v>
      </c>
      <c r="B52" s="387">
        <f>IF($E52="Y1",'WindMonitoring_BATS-BETS'!B51,IF($E52="Y2",'WindMonitoring_BATS-BETS'!B51+'Third_Line_MLTS-BATS'!B51,IF($E52="Y",Base!B48-Option4b!I52,IF($E52="N",0))))</f>
        <v>13.660000000000082</v>
      </c>
      <c r="C52" s="387">
        <f>IF($E52="Y1",'WindMonitoring_BATS-BETS'!C51,IF($E52="Y2",'WindMonitoring_BATS-BETS'!C51+'Third_Line_MLTS-BATS'!C51,IF($E52="Y",Base!C48-Option4b!J52,IF($E52="N",0))))</f>
        <v>78.680000000000291</v>
      </c>
      <c r="D52" s="387">
        <f>IF($E52="Y1",'WindMonitoring_BATS-BETS'!D51,IF($E52="Y2",'WindMonitoring_BATS-BETS'!D51+'Third_Line_MLTS-BATS'!D51,IF($E52="Y",Base!D48-Option4b!K52,IF($E52="N",0))))</f>
        <v>57.60512000000017</v>
      </c>
      <c r="E52" s="261" t="str">
        <f t="shared" si="10"/>
        <v>Y1</v>
      </c>
      <c r="F52" s="52">
        <f t="shared" si="11"/>
        <v>3568.6371840000106</v>
      </c>
      <c r="H52" s="72" t="s">
        <v>66</v>
      </c>
      <c r="I52" s="40">
        <v>671.37</v>
      </c>
      <c r="J52" s="40">
        <v>9330.36</v>
      </c>
      <c r="K52" s="40">
        <v>7568.1993599999996</v>
      </c>
      <c r="L52" s="40">
        <f t="shared" si="9"/>
        <v>468849.95035200001</v>
      </c>
    </row>
    <row r="53" spans="1:12" s="270" customFormat="1" x14ac:dyDescent="0.3">
      <c r="A53" s="72" t="s">
        <v>67</v>
      </c>
      <c r="B53" s="387">
        <f>IF($E53="Y1",'WindMonitoring_BATS-BETS'!B52,IF($E53="Y2",'WindMonitoring_BATS-BETS'!B52+'Third_Line_MLTS-BATS'!B52,IF($E53="Y",Base!B49-Option4b!I53,IF($E53="N",0))))</f>
        <v>40.240000000000009</v>
      </c>
      <c r="C53" s="387">
        <f>IF($E53="Y1",'WindMonitoring_BATS-BETS'!C52,IF($E53="Y2",'WindMonitoring_BATS-BETS'!C52+'Third_Line_MLTS-BATS'!C52,IF($E53="Y",Base!C49-Option4b!J53,IF($E53="N",0))))</f>
        <v>227.07000000000153</v>
      </c>
      <c r="D53" s="387">
        <f>IF($E53="Y1",'WindMonitoring_BATS-BETS'!D52,IF($E53="Y2",'WindMonitoring_BATS-BETS'!D52+'Third_Line_MLTS-BATS'!D52,IF($E53="Y",Base!D49-Option4b!K53,IF($E53="N",0))))</f>
        <v>143.70312000000013</v>
      </c>
      <c r="E53" s="261" t="str">
        <f t="shared" si="10"/>
        <v>Y1</v>
      </c>
      <c r="F53" s="52">
        <f t="shared" si="11"/>
        <v>8902.4082840000083</v>
      </c>
      <c r="H53" s="72" t="s">
        <v>67</v>
      </c>
      <c r="I53" s="40">
        <v>742.68000000000006</v>
      </c>
      <c r="J53" s="40">
        <v>9636.18</v>
      </c>
      <c r="K53" s="40">
        <v>7758.3511199999994</v>
      </c>
      <c r="L53" s="40">
        <f t="shared" si="9"/>
        <v>480629.851884</v>
      </c>
    </row>
    <row r="54" spans="1:12" s="270" customFormat="1" x14ac:dyDescent="0.3">
      <c r="A54" s="72" t="s">
        <v>68</v>
      </c>
      <c r="B54" s="387">
        <f>IF($E54="Y1",'WindMonitoring_BATS-BETS'!B53,IF($E54="Y2",'WindMonitoring_BATS-BETS'!B53+'Third_Line_MLTS-BATS'!B53,IF($E54="Y",Base!B50-Option4b!I54,IF($E54="N",0))))</f>
        <v>21.150000000000546</v>
      </c>
      <c r="C54" s="387">
        <f>IF($E54="Y1",'WindMonitoring_BATS-BETS'!C53,IF($E54="Y2",'WindMonitoring_BATS-BETS'!C53+'Third_Line_MLTS-BATS'!C53,IF($E54="Y",Base!C50-Option4b!J54,IF($E54="N",0))))</f>
        <v>1312.8199999999961</v>
      </c>
      <c r="D54" s="387">
        <f>IF($E54="Y1",'WindMonitoring_BATS-BETS'!D53,IF($E54="Y2",'WindMonitoring_BATS-BETS'!D53+'Third_Line_MLTS-BATS'!D53,IF($E54="Y",Base!D50-Option4b!K54,IF($E54="N",0))))</f>
        <v>665.31031999999868</v>
      </c>
      <c r="E54" s="261" t="str">
        <f t="shared" si="10"/>
        <v>Y2</v>
      </c>
      <c r="F54" s="52">
        <f t="shared" si="11"/>
        <v>41215.974323999922</v>
      </c>
      <c r="H54" s="72" t="s">
        <v>68</v>
      </c>
      <c r="I54" s="40">
        <v>1050.32</v>
      </c>
      <c r="J54" s="40">
        <v>10328.709999999997</v>
      </c>
      <c r="K54" s="40">
        <v>8076.1059999999979</v>
      </c>
      <c r="L54" s="40">
        <f t="shared" si="9"/>
        <v>500314.76669999992</v>
      </c>
    </row>
    <row r="55" spans="1:12" s="270" customFormat="1" x14ac:dyDescent="0.3">
      <c r="A55" s="72" t="s">
        <v>69</v>
      </c>
      <c r="B55" s="387">
        <f>IF($E55="Y1",'WindMonitoring_BATS-BETS'!B54,IF($E55="Y2",'WindMonitoring_BATS-BETS'!B54+'Third_Line_MLTS-BATS'!B54,IF($E55="Y",Base!B51-Option4b!I55,IF($E55="N",0))))</f>
        <v>254.62000000000012</v>
      </c>
      <c r="C55" s="387">
        <f>IF($E55="Y1",'WindMonitoring_BATS-BETS'!C54,IF($E55="Y2",'WindMonitoring_BATS-BETS'!C54+'Third_Line_MLTS-BATS'!C54,IF($E55="Y",Base!C51-Option4b!J55,IF($E55="N",0))))</f>
        <v>1512.2399999999998</v>
      </c>
      <c r="D55" s="387">
        <f>IF($E55="Y1",'WindMonitoring_BATS-BETS'!D54,IF($E55="Y2",'WindMonitoring_BATS-BETS'!D54+'Third_Line_MLTS-BATS'!D54,IF($E55="Y",Base!D51-Option4b!K55,IF($E55="N",0))))</f>
        <v>798.08831999999893</v>
      </c>
      <c r="E55" s="261" t="str">
        <f t="shared" si="10"/>
        <v>Y2</v>
      </c>
      <c r="F55" s="52">
        <f t="shared" si="11"/>
        <v>49441.571423999936</v>
      </c>
      <c r="H55" s="72" t="s">
        <v>69</v>
      </c>
      <c r="I55" s="40">
        <v>1082.5400000000002</v>
      </c>
      <c r="J55" s="40">
        <v>10863.829999999998</v>
      </c>
      <c r="K55" s="40">
        <v>8414.6616799999993</v>
      </c>
      <c r="L55" s="40">
        <f t="shared" si="9"/>
        <v>521288.29107599996</v>
      </c>
    </row>
    <row r="56" spans="1:12" s="270" customFormat="1" x14ac:dyDescent="0.3">
      <c r="A56" s="72" t="s">
        <v>70</v>
      </c>
      <c r="B56" s="387">
        <f>IF($E56="Y1",'WindMonitoring_BATS-BETS'!B55,IF($E56="Y2",'WindMonitoring_BATS-BETS'!B55+'Third_Line_MLTS-BATS'!B55,IF($E56="Y",Base!B52-Option4b!I56,IF($E56="N",0))))</f>
        <v>112.01000000000022</v>
      </c>
      <c r="C56" s="387">
        <f>IF($E56="Y1",'WindMonitoring_BATS-BETS'!C55,IF($E56="Y2",'WindMonitoring_BATS-BETS'!C55+'Third_Line_MLTS-BATS'!C55,IF($E56="Y",Base!C52-Option4b!J56,IF($E56="N",0))))</f>
        <v>2402.1599999999962</v>
      </c>
      <c r="D56" s="387">
        <f>IF($E56="Y1",'WindMonitoring_BATS-BETS'!D55,IF($E56="Y2",'WindMonitoring_BATS-BETS'!D55+'Third_Line_MLTS-BATS'!D55,IF($E56="Y",Base!D52-Option4b!K56,IF($E56="N",0))))</f>
        <v>1515.3724799999982</v>
      </c>
      <c r="E56" s="261" t="str">
        <f t="shared" si="10"/>
        <v>Y</v>
      </c>
      <c r="F56" s="52">
        <f t="shared" si="11"/>
        <v>93877.325135999898</v>
      </c>
      <c r="H56" s="72" t="s">
        <v>70</v>
      </c>
      <c r="I56" s="40">
        <v>1291.7499999999998</v>
      </c>
      <c r="J56" s="40">
        <v>12275.81</v>
      </c>
      <c r="K56" s="40">
        <v>8879.2047199999997</v>
      </c>
      <c r="L56" s="40">
        <f t="shared" si="9"/>
        <v>550066.73240400001</v>
      </c>
    </row>
    <row r="57" spans="1:12" s="270" customFormat="1" x14ac:dyDescent="0.3">
      <c r="A57" s="72" t="s">
        <v>71</v>
      </c>
      <c r="B57" s="387">
        <f>IF($E57="Y1",'WindMonitoring_BATS-BETS'!B56,IF($E57="Y2",'WindMonitoring_BATS-BETS'!B56+'Third_Line_MLTS-BATS'!B56,IF($E57="Y",Base!B53-Option4b!I57,IF($E57="N",0))))</f>
        <v>-0.74000000000000909</v>
      </c>
      <c r="C57" s="387">
        <f>IF($E57="Y1",'WindMonitoring_BATS-BETS'!C56,IF($E57="Y2",'WindMonitoring_BATS-BETS'!C56+'Third_Line_MLTS-BATS'!C56,IF($E57="Y",Base!C53-Option4b!J57,IF($E57="N",0))))</f>
        <v>2927.3299999999945</v>
      </c>
      <c r="D57" s="387">
        <f>IF($E57="Y1",'WindMonitoring_BATS-BETS'!D56,IF($E57="Y2",'WindMonitoring_BATS-BETS'!D56+'Third_Line_MLTS-BATS'!D56,IF($E57="Y",Base!D53-Option4b!K57,IF($E57="N",0))))</f>
        <v>1748.0206399999988</v>
      </c>
      <c r="E57" s="261" t="str">
        <f t="shared" si="10"/>
        <v>Y</v>
      </c>
      <c r="F57" s="52">
        <f t="shared" si="11"/>
        <v>108289.87864799993</v>
      </c>
      <c r="H57" s="72" t="s">
        <v>71</v>
      </c>
      <c r="I57" s="40">
        <v>1442.25</v>
      </c>
      <c r="J57" s="40">
        <v>13590.050000000003</v>
      </c>
      <c r="K57" s="40">
        <v>9368.0374400000001</v>
      </c>
      <c r="L57" s="40">
        <f t="shared" si="9"/>
        <v>580349.91940800007</v>
      </c>
    </row>
    <row r="58" spans="1:12" s="270" customFormat="1" x14ac:dyDescent="0.3">
      <c r="A58" s="72" t="s">
        <v>72</v>
      </c>
      <c r="B58" s="387">
        <f>IF($E58="Y1",'WindMonitoring_BATS-BETS'!B57,IF($E58="Y2",'WindMonitoring_BATS-BETS'!B57+'Third_Line_MLTS-BATS'!B57,IF($E58="Y",Base!B54-Option4b!I58,IF($E58="N",0))))</f>
        <v>-95.809999999999945</v>
      </c>
      <c r="C58" s="387">
        <f>IF($E58="Y1",'WindMonitoring_BATS-BETS'!C57,IF($E58="Y2",'WindMonitoring_BATS-BETS'!C57+'Third_Line_MLTS-BATS'!C57,IF($E58="Y",Base!C54-Option4b!J58,IF($E58="N",0))))</f>
        <v>3242.850000000004</v>
      </c>
      <c r="D58" s="387">
        <f>IF($E58="Y1",'WindMonitoring_BATS-BETS'!D57,IF($E58="Y2",'WindMonitoring_BATS-BETS'!D57+'Third_Line_MLTS-BATS'!D57,IF($E58="Y",Base!D54-Option4b!K58,IF($E58="N",0))))</f>
        <v>1838.739599999999</v>
      </c>
      <c r="E58" s="261" t="str">
        <f t="shared" si="10"/>
        <v>Y</v>
      </c>
      <c r="F58" s="52">
        <f t="shared" si="11"/>
        <v>113909.91821999995</v>
      </c>
      <c r="H58" s="72" t="s">
        <v>72</v>
      </c>
      <c r="I58" s="40">
        <v>1761.71</v>
      </c>
      <c r="J58" s="40">
        <v>15922.38</v>
      </c>
      <c r="K58" s="40">
        <v>10475.46312</v>
      </c>
      <c r="L58" s="40">
        <f t="shared" si="9"/>
        <v>648954.94028400001</v>
      </c>
    </row>
    <row r="59" spans="1:12" s="270" customFormat="1" x14ac:dyDescent="0.3">
      <c r="A59" s="72" t="s">
        <v>73</v>
      </c>
      <c r="B59" s="387">
        <f>IF($E59="Y1",'WindMonitoring_BATS-BETS'!B58,IF($E59="Y2",'WindMonitoring_BATS-BETS'!B58+'Third_Line_MLTS-BATS'!B58,IF($E59="Y",Base!B55-Option4b!I59,IF($E59="N",0))))</f>
        <v>52.450000000000045</v>
      </c>
      <c r="C59" s="387">
        <f>IF($E59="Y1",'WindMonitoring_BATS-BETS'!C58,IF($E59="Y2",'WindMonitoring_BATS-BETS'!C58+'Third_Line_MLTS-BATS'!C58,IF($E59="Y",Base!C55-Option4b!J59,IF($E59="N",0))))</f>
        <v>4411.1399999999994</v>
      </c>
      <c r="D59" s="387">
        <f>IF($E59="Y1",'WindMonitoring_BATS-BETS'!D58,IF($E59="Y2",'WindMonitoring_BATS-BETS'!D58+'Third_Line_MLTS-BATS'!D58,IF($E59="Y",Base!D55-Option4b!K59,IF($E59="N",0))))</f>
        <v>2406.5138399999996</v>
      </c>
      <c r="E59" s="261" t="str">
        <f t="shared" si="10"/>
        <v>Y</v>
      </c>
      <c r="F59" s="52">
        <f t="shared" si="11"/>
        <v>149083.53238799999</v>
      </c>
      <c r="H59" s="72" t="s">
        <v>73</v>
      </c>
      <c r="I59" s="40">
        <v>1897.3799999999999</v>
      </c>
      <c r="J59" s="40">
        <v>18745.900000000001</v>
      </c>
      <c r="K59" s="40">
        <v>11585.813920000001</v>
      </c>
      <c r="L59" s="40">
        <f t="shared" si="9"/>
        <v>717741.17234400008</v>
      </c>
    </row>
    <row r="60" spans="1:12" s="270" customFormat="1" ht="15" thickBot="1" x14ac:dyDescent="0.35">
      <c r="E60" s="60">
        <f>SUM(COUNTIF(E50:E59,{"Y","Y1","Y2"}))</f>
        <v>8</v>
      </c>
      <c r="F60" s="62">
        <f>-PV($G$6,$G$7-E60,F59)</f>
        <v>1420225.7241925281</v>
      </c>
      <c r="G60" s="55" t="s">
        <v>11</v>
      </c>
    </row>
    <row r="61" spans="1:12" s="270" customFormat="1" ht="15" thickTop="1" x14ac:dyDescent="0.3"/>
    <row r="62" spans="1:12" s="270" customFormat="1" ht="15.6" x14ac:dyDescent="0.3">
      <c r="A62" s="409" t="s">
        <v>55</v>
      </c>
      <c r="B62" s="410"/>
      <c r="C62" s="410"/>
      <c r="D62" s="410"/>
      <c r="E62" s="410"/>
      <c r="F62" s="411"/>
      <c r="H62" s="406" t="s">
        <v>61</v>
      </c>
      <c r="I62" s="406"/>
      <c r="J62" s="406"/>
      <c r="K62" s="406"/>
      <c r="L62" s="406"/>
    </row>
    <row r="63" spans="1:12" s="270" customFormat="1" ht="57.6" x14ac:dyDescent="0.3">
      <c r="A63" s="260" t="s">
        <v>5</v>
      </c>
      <c r="B63" s="51" t="s">
        <v>151</v>
      </c>
      <c r="C63" s="51" t="s">
        <v>152</v>
      </c>
      <c r="D63" s="51" t="s">
        <v>153</v>
      </c>
      <c r="E63" s="51" t="s">
        <v>12</v>
      </c>
      <c r="F63" s="51" t="s">
        <v>134</v>
      </c>
      <c r="H63" s="260" t="s">
        <v>5</v>
      </c>
      <c r="I63" s="51" t="s">
        <v>75</v>
      </c>
      <c r="J63" s="51" t="s">
        <v>51</v>
      </c>
      <c r="K63" s="50" t="s">
        <v>0</v>
      </c>
      <c r="L63" s="51" t="s">
        <v>58</v>
      </c>
    </row>
    <row r="64" spans="1:12" s="270" customFormat="1" x14ac:dyDescent="0.3">
      <c r="A64" s="72" t="s">
        <v>64</v>
      </c>
      <c r="B64" s="387">
        <f>IF($E64="Y1",'WindMonitoring_BATS-BETS'!B63,IF($E64="Y2",'WindMonitoring_BATS-BETS'!B63+'Third_Line_MLTS-BATS'!B63,IF($E64="Y",Base!B60-Option4b!I64,IF($E64="N",0))))</f>
        <v>0</v>
      </c>
      <c r="C64" s="387">
        <f>IF($E64="Y1",'WindMonitoring_BATS-BETS'!C63,IF($E64="Y2",'WindMonitoring_BATS-BETS'!C63+'Third_Line_MLTS-BATS'!C63,IF($E64="Y",Base!C60-Option4b!J64,IF($E64="N",0))))</f>
        <v>0</v>
      </c>
      <c r="D64" s="387">
        <f>IF($E64="Y1",'WindMonitoring_BATS-BETS'!D63,IF($E64="Y2",'WindMonitoring_BATS-BETS'!D63+'Third_Line_MLTS-BATS'!D63,IF($E64="Y",Base!D60-Option4b!K64,IF($E64="N",0))))</f>
        <v>0</v>
      </c>
      <c r="E64" s="261" t="str">
        <f>E36</f>
        <v>N</v>
      </c>
      <c r="F64" s="52">
        <f>IF(OR(E64="Y",E64="Y1",E64="Y2"),D64*$G$5,0)</f>
        <v>0</v>
      </c>
      <c r="H64" s="72" t="s">
        <v>64</v>
      </c>
      <c r="I64" s="40">
        <v>523.2299999999999</v>
      </c>
      <c r="J64" s="40">
        <v>8617.9499999999989</v>
      </c>
      <c r="K64" s="40">
        <v>7210.8119999999999</v>
      </c>
      <c r="L64" s="40">
        <f t="shared" ref="L64:L73" si="12">K64*$G$5</f>
        <v>446709.80340000003</v>
      </c>
    </row>
    <row r="65" spans="1:15" s="270" customFormat="1" x14ac:dyDescent="0.3">
      <c r="A65" s="72" t="s">
        <v>65</v>
      </c>
      <c r="B65" s="387">
        <f>IF($E65="Y1",'WindMonitoring_BATS-BETS'!B64,IF($E65="Y2",'WindMonitoring_BATS-BETS'!B64+'Third_Line_MLTS-BATS'!B64,IF($E65="Y",Base!B61-Option4b!I65,IF($E65="N",0))))</f>
        <v>0</v>
      </c>
      <c r="C65" s="387">
        <f>IF($E65="Y1",'WindMonitoring_BATS-BETS'!C64,IF($E65="Y2",'WindMonitoring_BATS-BETS'!C64+'Third_Line_MLTS-BATS'!C64,IF($E65="Y",Base!C61-Option4b!J65,IF($E65="N",0))))</f>
        <v>0</v>
      </c>
      <c r="D65" s="387">
        <f>IF($E65="Y1",'WindMonitoring_BATS-BETS'!D64,IF($E65="Y2",'WindMonitoring_BATS-BETS'!D64+'Third_Line_MLTS-BATS'!D64,IF($E65="Y",Base!D61-Option4b!K65,IF($E65="N",0))))</f>
        <v>0</v>
      </c>
      <c r="E65" s="261" t="str">
        <f t="shared" ref="E65:E73" si="13">E37</f>
        <v>N</v>
      </c>
      <c r="F65" s="52">
        <f t="shared" ref="F65:F73" si="14">IF(OR(E65="Y",E65="Y1",E65="Y2"),D65*$G$5,0)</f>
        <v>0</v>
      </c>
      <c r="H65" s="72" t="s">
        <v>65</v>
      </c>
      <c r="I65" s="40">
        <v>546.63999999999987</v>
      </c>
      <c r="J65" s="40">
        <v>8755.1299999999992</v>
      </c>
      <c r="K65" s="40">
        <v>7262.864239999999</v>
      </c>
      <c r="L65" s="40">
        <f t="shared" si="12"/>
        <v>449934.43966799998</v>
      </c>
    </row>
    <row r="66" spans="1:15" s="270" customFormat="1" x14ac:dyDescent="0.3">
      <c r="A66" s="72" t="s">
        <v>66</v>
      </c>
      <c r="B66" s="387">
        <f>IF($E66="Y1",'WindMonitoring_BATS-BETS'!B65,IF($E66="Y2",'WindMonitoring_BATS-BETS'!B65+'Third_Line_MLTS-BATS'!B65,IF($E66="Y",Base!B62-Option4b!I66,IF($E66="N",0))))</f>
        <v>43.5</v>
      </c>
      <c r="C66" s="387">
        <f>IF($E66="Y1",'WindMonitoring_BATS-BETS'!C65,IF($E66="Y2",'WindMonitoring_BATS-BETS'!C65+'Third_Line_MLTS-BATS'!C65,IF($E66="Y",Base!C62-Option4b!J66,IF($E66="N",0))))</f>
        <v>143.60000000000036</v>
      </c>
      <c r="D66" s="387">
        <f>IF($E66="Y1",'WindMonitoring_BATS-BETS'!D65,IF($E66="Y2",'WindMonitoring_BATS-BETS'!D65+'Third_Line_MLTS-BATS'!D65,IF($E66="Y",Base!D62-Option4b!K66,IF($E66="N",0))))</f>
        <v>96.529520000000048</v>
      </c>
      <c r="E66" s="261" t="str">
        <f t="shared" si="13"/>
        <v>Y1</v>
      </c>
      <c r="F66" s="52">
        <f t="shared" si="14"/>
        <v>5980.0037640000037</v>
      </c>
      <c r="H66" s="72" t="s">
        <v>66</v>
      </c>
      <c r="I66" s="40">
        <v>566.91</v>
      </c>
      <c r="J66" s="40">
        <v>8864.5600000000013</v>
      </c>
      <c r="K66" s="40">
        <v>7329.6572800000004</v>
      </c>
      <c r="L66" s="40">
        <f t="shared" si="12"/>
        <v>454072.26849600003</v>
      </c>
    </row>
    <row r="67" spans="1:15" s="270" customFormat="1" x14ac:dyDescent="0.3">
      <c r="A67" s="72" t="s">
        <v>67</v>
      </c>
      <c r="B67" s="387">
        <f>IF($E67="Y1",'WindMonitoring_BATS-BETS'!B66,IF($E67="Y2",'WindMonitoring_BATS-BETS'!B66+'Third_Line_MLTS-BATS'!B66,IF($E67="Y",Base!B63-Option4b!I67,IF($E67="N",0))))</f>
        <v>40.400000000000091</v>
      </c>
      <c r="C67" s="387">
        <f>IF($E67="Y1",'WindMonitoring_BATS-BETS'!C66,IF($E67="Y2",'WindMonitoring_BATS-BETS'!C66+'Third_Line_MLTS-BATS'!C66,IF($E67="Y",Base!C63-Option4b!J67,IF($E67="N",0))))</f>
        <v>144.59000000000196</v>
      </c>
      <c r="D67" s="387">
        <f>IF($E67="Y1",'WindMonitoring_BATS-BETS'!D66,IF($E67="Y2",'WindMonitoring_BATS-BETS'!D66+'Third_Line_MLTS-BATS'!D66,IF($E67="Y",Base!D63-Option4b!K67,IF($E67="N",0))))</f>
        <v>134.59544000000005</v>
      </c>
      <c r="E67" s="261" t="str">
        <f t="shared" si="13"/>
        <v>Y1</v>
      </c>
      <c r="F67" s="52">
        <f t="shared" si="14"/>
        <v>8338.1875080000045</v>
      </c>
      <c r="H67" s="72" t="s">
        <v>67</v>
      </c>
      <c r="I67" s="40">
        <v>573.49</v>
      </c>
      <c r="J67" s="40">
        <v>8918.24</v>
      </c>
      <c r="K67" s="40">
        <v>7343.1711199999991</v>
      </c>
      <c r="L67" s="40">
        <f t="shared" si="12"/>
        <v>454909.45088399999</v>
      </c>
    </row>
    <row r="68" spans="1:15" s="270" customFormat="1" x14ac:dyDescent="0.3">
      <c r="A68" s="72" t="s">
        <v>68</v>
      </c>
      <c r="B68" s="387">
        <f>IF($E68="Y1",'WindMonitoring_BATS-BETS'!B67,IF($E68="Y2",'WindMonitoring_BATS-BETS'!B67+'Third_Line_MLTS-BATS'!B67,IF($E68="Y",Base!B64-Option4b!I68,IF($E68="N",0))))</f>
        <v>318.52000000000044</v>
      </c>
      <c r="C68" s="387">
        <f>IF($E68="Y1",'WindMonitoring_BATS-BETS'!C67,IF($E68="Y2",'WindMonitoring_BATS-BETS'!C67+'Third_Line_MLTS-BATS'!C67,IF($E68="Y",Base!C64-Option4b!J68,IF($E68="N",0))))</f>
        <v>1166.3100000000031</v>
      </c>
      <c r="D68" s="387">
        <f>IF($E68="Y1",'WindMonitoring_BATS-BETS'!D67,IF($E68="Y2",'WindMonitoring_BATS-BETS'!D67+'Third_Line_MLTS-BATS'!D67,IF($E68="Y",Base!D64-Option4b!K68,IF($E68="N",0))))</f>
        <v>867.28751999999804</v>
      </c>
      <c r="E68" s="261" t="str">
        <f t="shared" si="13"/>
        <v>Y2</v>
      </c>
      <c r="F68" s="52">
        <f t="shared" si="14"/>
        <v>53728.461863999881</v>
      </c>
      <c r="H68" s="72" t="s">
        <v>68</v>
      </c>
      <c r="I68" s="40">
        <v>649.99999999999989</v>
      </c>
      <c r="J68" s="40">
        <v>9142.6799999999985</v>
      </c>
      <c r="K68" s="40">
        <v>7446.862079999999</v>
      </c>
      <c r="L68" s="40">
        <f t="shared" si="12"/>
        <v>461333.10585599998</v>
      </c>
    </row>
    <row r="69" spans="1:15" s="270" customFormat="1" x14ac:dyDescent="0.3">
      <c r="A69" s="72" t="s">
        <v>69</v>
      </c>
      <c r="B69" s="387">
        <f>IF($E69="Y1",'WindMonitoring_BATS-BETS'!B68,IF($E69="Y2",'WindMonitoring_BATS-BETS'!B68+'Third_Line_MLTS-BATS'!B68,IF($E69="Y",Base!B65-Option4b!I69,IF($E69="N",0))))</f>
        <v>306.2399999999999</v>
      </c>
      <c r="C69" s="387">
        <f>IF($E69="Y1",'WindMonitoring_BATS-BETS'!C68,IF($E69="Y2",'WindMonitoring_BATS-BETS'!C68+'Third_Line_MLTS-BATS'!C68,IF($E69="Y",Base!C65-Option4b!J69,IF($E69="N",0))))</f>
        <v>1261.6100000000006</v>
      </c>
      <c r="D69" s="387">
        <f>IF($E69="Y1",'WindMonitoring_BATS-BETS'!D68,IF($E69="Y2",'WindMonitoring_BATS-BETS'!D68+'Third_Line_MLTS-BATS'!D68,IF($E69="Y",Base!D65-Option4b!K69,IF($E69="N",0))))</f>
        <v>988.54831999999715</v>
      </c>
      <c r="E69" s="261" t="str">
        <f t="shared" si="13"/>
        <v>Y2</v>
      </c>
      <c r="F69" s="52">
        <f t="shared" si="14"/>
        <v>61240.568423999823</v>
      </c>
      <c r="H69" s="72" t="s">
        <v>69</v>
      </c>
      <c r="I69" s="40">
        <v>728.70000000000016</v>
      </c>
      <c r="J69" s="40">
        <v>9501.39</v>
      </c>
      <c r="K69" s="40">
        <v>7665.5856000000003</v>
      </c>
      <c r="L69" s="40">
        <f t="shared" si="12"/>
        <v>474883.02792000002</v>
      </c>
    </row>
    <row r="70" spans="1:15" s="270" customFormat="1" x14ac:dyDescent="0.3">
      <c r="A70" s="72" t="s">
        <v>70</v>
      </c>
      <c r="B70" s="387">
        <f>IF($E70="Y1",'WindMonitoring_BATS-BETS'!B69,IF($E70="Y2",'WindMonitoring_BATS-BETS'!B69+'Third_Line_MLTS-BATS'!B69,IF($E70="Y",Base!B66-Option4b!I70,IF($E70="N",0))))</f>
        <v>302.52000000000021</v>
      </c>
      <c r="C70" s="387">
        <f>IF($E70="Y1",'WindMonitoring_BATS-BETS'!C69,IF($E70="Y2",'WindMonitoring_BATS-BETS'!C69+'Third_Line_MLTS-BATS'!C69,IF($E70="Y",Base!C66-Option4b!J70,IF($E70="N",0))))</f>
        <v>1165.4300000000003</v>
      </c>
      <c r="D70" s="387">
        <f>IF($E70="Y1",'WindMonitoring_BATS-BETS'!D69,IF($E70="Y2",'WindMonitoring_BATS-BETS'!D69+'Third_Line_MLTS-BATS'!D69,IF($E70="Y",Base!D66-Option4b!K70,IF($E70="N",0))))</f>
        <v>705.1930399999992</v>
      </c>
      <c r="E70" s="261" t="str">
        <f t="shared" si="13"/>
        <v>Y</v>
      </c>
      <c r="F70" s="52">
        <f t="shared" si="14"/>
        <v>43686.708827999952</v>
      </c>
      <c r="H70" s="72" t="s">
        <v>70</v>
      </c>
      <c r="I70" s="40">
        <v>765.04</v>
      </c>
      <c r="J70" s="40">
        <v>9879.31</v>
      </c>
      <c r="K70" s="40">
        <v>7825.7411199999997</v>
      </c>
      <c r="L70" s="40">
        <f t="shared" si="12"/>
        <v>484804.66238400002</v>
      </c>
    </row>
    <row r="71" spans="1:15" s="270" customFormat="1" x14ac:dyDescent="0.3">
      <c r="A71" s="72" t="s">
        <v>71</v>
      </c>
      <c r="B71" s="387">
        <f>IF($E71="Y1",'WindMonitoring_BATS-BETS'!B70,IF($E71="Y2",'WindMonitoring_BATS-BETS'!B70+'Third_Line_MLTS-BATS'!B70,IF($E71="Y",Base!B67-Option4b!I71,IF($E71="N",0))))</f>
        <v>253.81999999999994</v>
      </c>
      <c r="C71" s="387">
        <f>IF($E71="Y1",'WindMonitoring_BATS-BETS'!C70,IF($E71="Y2",'WindMonitoring_BATS-BETS'!C70+'Third_Line_MLTS-BATS'!C70,IF($E71="Y",Base!C67-Option4b!J71,IF($E71="N",0))))</f>
        <v>1175.9700000000012</v>
      </c>
      <c r="D71" s="387">
        <f>IF($E71="Y1",'WindMonitoring_BATS-BETS'!D70,IF($E71="Y2",'WindMonitoring_BATS-BETS'!D70+'Third_Line_MLTS-BATS'!D70,IF($E71="Y",Base!D67-Option4b!K71,IF($E71="N",0))))</f>
        <v>720.15959999999905</v>
      </c>
      <c r="E71" s="261" t="str">
        <f t="shared" si="13"/>
        <v>Y</v>
      </c>
      <c r="F71" s="52">
        <f t="shared" si="14"/>
        <v>44613.887219999946</v>
      </c>
      <c r="H71" s="72" t="s">
        <v>71</v>
      </c>
      <c r="I71" s="40">
        <v>845.3</v>
      </c>
      <c r="J71" s="40">
        <v>10358.64</v>
      </c>
      <c r="K71" s="40">
        <v>8043.9876000000004</v>
      </c>
      <c r="L71" s="40">
        <f t="shared" si="12"/>
        <v>498325.03182000003</v>
      </c>
    </row>
    <row r="72" spans="1:15" s="270" customFormat="1" x14ac:dyDescent="0.3">
      <c r="A72" s="72" t="s">
        <v>72</v>
      </c>
      <c r="B72" s="387">
        <f>IF($E72="Y1",'WindMonitoring_BATS-BETS'!B71,IF($E72="Y2",'WindMonitoring_BATS-BETS'!B71+'Third_Line_MLTS-BATS'!B71,IF($E72="Y",Base!B68-Option4b!I72,IF($E72="N",0))))</f>
        <v>306.04000000000008</v>
      </c>
      <c r="C72" s="387">
        <f>IF($E72="Y1",'WindMonitoring_BATS-BETS'!C71,IF($E72="Y2",'WindMonitoring_BATS-BETS'!C71+'Third_Line_MLTS-BATS'!C71,IF($E72="Y",Base!C68-Option4b!J72,IF($E72="N",0))))</f>
        <v>977.56999999999789</v>
      </c>
      <c r="D72" s="387">
        <f>IF($E72="Y1",'WindMonitoring_BATS-BETS'!D71,IF($E72="Y2",'WindMonitoring_BATS-BETS'!D71+'Third_Line_MLTS-BATS'!D71,IF($E72="Y",Base!D68-Option4b!K72,IF($E72="N",0))))</f>
        <v>599.29399999999805</v>
      </c>
      <c r="E72" s="261" t="str">
        <f t="shared" si="13"/>
        <v>Y</v>
      </c>
      <c r="F72" s="52">
        <f t="shared" si="14"/>
        <v>37126.263299999882</v>
      </c>
      <c r="H72" s="72" t="s">
        <v>72</v>
      </c>
      <c r="I72" s="40">
        <v>737.04000000000008</v>
      </c>
      <c r="J72" s="40">
        <v>10513.27</v>
      </c>
      <c r="K72" s="40">
        <v>7967.6569600000003</v>
      </c>
      <c r="L72" s="40">
        <f t="shared" si="12"/>
        <v>493596.34867200005</v>
      </c>
    </row>
    <row r="73" spans="1:15" s="270" customFormat="1" x14ac:dyDescent="0.3">
      <c r="A73" s="72" t="s">
        <v>73</v>
      </c>
      <c r="B73" s="387">
        <f>IF($E73="Y1",'WindMonitoring_BATS-BETS'!B72,IF($E73="Y2",'WindMonitoring_BATS-BETS'!B72+'Third_Line_MLTS-BATS'!B72,IF($E73="Y",Base!B69-Option4b!I73,IF($E73="N",0))))</f>
        <v>321.0200000000001</v>
      </c>
      <c r="C73" s="387">
        <f>IF($E73="Y1",'WindMonitoring_BATS-BETS'!C72,IF($E73="Y2",'WindMonitoring_BATS-BETS'!C72+'Third_Line_MLTS-BATS'!C72,IF($E73="Y",Base!C69-Option4b!J73,IF($E73="N",0))))</f>
        <v>1175.5500000000011</v>
      </c>
      <c r="D73" s="387">
        <f>IF($E73="Y1",'WindMonitoring_BATS-BETS'!D72,IF($E73="Y2",'WindMonitoring_BATS-BETS'!D72+'Third_Line_MLTS-BATS'!D72,IF($E73="Y",Base!D69-Option4b!K73,IF($E73="N",0))))</f>
        <v>705.7430400000012</v>
      </c>
      <c r="E73" s="261" t="str">
        <f t="shared" si="13"/>
        <v>Y</v>
      </c>
      <c r="F73" s="52">
        <f t="shared" si="14"/>
        <v>43720.781328000077</v>
      </c>
      <c r="H73" s="72" t="s">
        <v>73</v>
      </c>
      <c r="I73" s="40">
        <v>763.1</v>
      </c>
      <c r="J73" s="40">
        <v>11326.979999999998</v>
      </c>
      <c r="K73" s="40">
        <v>8232.4456799999989</v>
      </c>
      <c r="L73" s="40">
        <f t="shared" si="12"/>
        <v>510000.00987599994</v>
      </c>
    </row>
    <row r="74" spans="1:15" s="270" customFormat="1" ht="15" thickBot="1" x14ac:dyDescent="0.35">
      <c r="E74" s="60">
        <f>SUM(COUNTIF(E64:E73,{"Y","Y1","Y2"}))</f>
        <v>8</v>
      </c>
      <c r="F74" s="62">
        <f>-PV($G$6,$G$7-E74,F73)</f>
        <v>416500.58413037763</v>
      </c>
      <c r="G74" s="55" t="s">
        <v>11</v>
      </c>
    </row>
    <row r="75" spans="1:15" s="270" customFormat="1" ht="15" thickTop="1" x14ac:dyDescent="0.3"/>
    <row r="76" spans="1:15" s="270" customFormat="1" ht="15.6" x14ac:dyDescent="0.3">
      <c r="A76" s="409" t="s">
        <v>54</v>
      </c>
      <c r="B76" s="410"/>
      <c r="C76" s="410"/>
      <c r="D76" s="410"/>
      <c r="E76" s="410"/>
      <c r="F76" s="411"/>
      <c r="H76" s="406" t="s">
        <v>62</v>
      </c>
      <c r="I76" s="406"/>
      <c r="J76" s="406"/>
      <c r="K76" s="406"/>
      <c r="L76" s="406"/>
    </row>
    <row r="77" spans="1:15" s="270" customFormat="1" ht="57.6" x14ac:dyDescent="0.3">
      <c r="A77" s="260" t="s">
        <v>5</v>
      </c>
      <c r="B77" s="51" t="s">
        <v>151</v>
      </c>
      <c r="C77" s="51" t="s">
        <v>152</v>
      </c>
      <c r="D77" s="51" t="s">
        <v>153</v>
      </c>
      <c r="E77" s="51" t="s">
        <v>12</v>
      </c>
      <c r="F77" s="51" t="s">
        <v>134</v>
      </c>
      <c r="H77" s="260" t="s">
        <v>5</v>
      </c>
      <c r="I77" s="51" t="s">
        <v>75</v>
      </c>
      <c r="J77" s="51" t="s">
        <v>51</v>
      </c>
      <c r="K77" s="50" t="s">
        <v>0</v>
      </c>
      <c r="L77" s="51" t="s">
        <v>58</v>
      </c>
    </row>
    <row r="78" spans="1:15" s="270" customFormat="1" x14ac:dyDescent="0.3">
      <c r="A78" s="72" t="s">
        <v>64</v>
      </c>
      <c r="B78" s="387">
        <f>IF($E78="Y1",'WindMonitoring_BATS-BETS'!B77,IF($E78="Y2",'WindMonitoring_BATS-BETS'!B77+'Third_Line_MLTS-BATS'!B77,IF($E78="Y",Base!B74-Option4b!I78,IF($E78="N",0))))</f>
        <v>0</v>
      </c>
      <c r="C78" s="387">
        <f>IF($E78="Y1",'WindMonitoring_BATS-BETS'!C77,IF($E78="Y2",'WindMonitoring_BATS-BETS'!C77+'Third_Line_MLTS-BATS'!C77,IF($E78="Y",Base!C74-Option4b!J78,IF($E78="N",0))))</f>
        <v>0</v>
      </c>
      <c r="D78" s="387">
        <f>IF($E78="Y1",'WindMonitoring_BATS-BETS'!D77,IF($E78="Y2",'WindMonitoring_BATS-BETS'!D77+'Third_Line_MLTS-BATS'!D77,IF($E78="Y",Base!D74-Option4b!K78,IF($E78="N",0))))</f>
        <v>0</v>
      </c>
      <c r="E78" s="261" t="str">
        <f>E36</f>
        <v>N</v>
      </c>
      <c r="F78" s="52">
        <f>IF(OR(E78="Y",E78="Y1",E78="Y2"),D78*$G$5,0)</f>
        <v>0</v>
      </c>
      <c r="H78" s="72" t="s">
        <v>64</v>
      </c>
      <c r="I78" s="40">
        <v>523.2299999999999</v>
      </c>
      <c r="J78" s="40">
        <v>8617.9499999999989</v>
      </c>
      <c r="K78" s="40">
        <v>7210.8119999999999</v>
      </c>
      <c r="L78" s="40">
        <f t="shared" ref="L78:L87" si="15">K78*$G$5</f>
        <v>446709.80340000003</v>
      </c>
    </row>
    <row r="79" spans="1:15" s="270" customFormat="1" x14ac:dyDescent="0.3">
      <c r="A79" s="72" t="s">
        <v>65</v>
      </c>
      <c r="B79" s="387">
        <f>IF($E79="Y1",'WindMonitoring_BATS-BETS'!B78,IF($E79="Y2",'WindMonitoring_BATS-BETS'!B78+'Third_Line_MLTS-BATS'!B78,IF($E79="Y",Base!B75-Option4b!I79,IF($E79="N",0))))</f>
        <v>0</v>
      </c>
      <c r="C79" s="387">
        <f>IF($E79="Y1",'WindMonitoring_BATS-BETS'!C78,IF($E79="Y2",'WindMonitoring_BATS-BETS'!C78+'Third_Line_MLTS-BATS'!C78,IF($E79="Y",Base!C75-Option4b!J79,IF($E79="N",0))))</f>
        <v>0</v>
      </c>
      <c r="D79" s="387">
        <f>IF($E79="Y1",'WindMonitoring_BATS-BETS'!D78,IF($E79="Y2",'WindMonitoring_BATS-BETS'!D78+'Third_Line_MLTS-BATS'!D78,IF($E79="Y",Base!D75-Option4b!K79,IF($E79="N",0))))</f>
        <v>0</v>
      </c>
      <c r="E79" s="261" t="str">
        <f t="shared" ref="E79:E87" si="16">E37</f>
        <v>N</v>
      </c>
      <c r="F79" s="52">
        <f t="shared" ref="F79:F87" si="17">IF(OR(E79="Y",E79="Y1",E79="Y2"),D79*$G$5,0)</f>
        <v>0</v>
      </c>
      <c r="H79" s="72" t="s">
        <v>65</v>
      </c>
      <c r="I79" s="40">
        <v>546.63999999999987</v>
      </c>
      <c r="J79" s="40">
        <v>8750.58</v>
      </c>
      <c r="K79" s="40">
        <v>7261.0216799999998</v>
      </c>
      <c r="L79" s="40">
        <f t="shared" si="15"/>
        <v>449820.293076</v>
      </c>
    </row>
    <row r="80" spans="1:15" s="270" customFormat="1" x14ac:dyDescent="0.3">
      <c r="A80" s="72" t="s">
        <v>66</v>
      </c>
      <c r="B80" s="387">
        <f>IF($E80="Y1",'WindMonitoring_BATS-BETS'!B79,IF($E80="Y2",'WindMonitoring_BATS-BETS'!B79+'Third_Line_MLTS-BATS'!B79,IF($E80="Y",Base!B76-Option4b!I80,IF($E80="N",0))))</f>
        <v>16.960000000000036</v>
      </c>
      <c r="C80" s="387">
        <f>IF($E80="Y1",'WindMonitoring_BATS-BETS'!C79,IF($E80="Y2",'WindMonitoring_BATS-BETS'!C79+'Third_Line_MLTS-BATS'!C79,IF($E80="Y",Base!C76-Option4b!J80,IF($E80="N",0))))</f>
        <v>71.280000000000655</v>
      </c>
      <c r="D80" s="387">
        <f>IF($E80="Y1",'WindMonitoring_BATS-BETS'!D79,IF($E80="Y2",'WindMonitoring_BATS-BETS'!D79+'Third_Line_MLTS-BATS'!D79,IF($E80="Y",Base!D76-Option4b!K80,IF($E80="N",0))))</f>
        <v>42.068879999999808</v>
      </c>
      <c r="E80" s="261" t="str">
        <f t="shared" si="16"/>
        <v>Y1</v>
      </c>
      <c r="F80" s="52">
        <f t="shared" si="17"/>
        <v>2606.1671159999883</v>
      </c>
      <c r="H80" s="72" t="s">
        <v>66</v>
      </c>
      <c r="I80" s="40">
        <v>566.91</v>
      </c>
      <c r="J80" s="40">
        <v>8864.0500000000011</v>
      </c>
      <c r="K80" s="40">
        <v>7329.5022399999998</v>
      </c>
      <c r="L80" s="40">
        <f t="shared" si="15"/>
        <v>454062.66376800003</v>
      </c>
      <c r="N80" s="39"/>
      <c r="O80" s="39"/>
    </row>
    <row r="81" spans="1:15" s="270" customFormat="1" x14ac:dyDescent="0.3">
      <c r="A81" s="72" t="s">
        <v>67</v>
      </c>
      <c r="B81" s="387">
        <f>IF($E81="Y1",'WindMonitoring_BATS-BETS'!B80,IF($E81="Y2",'WindMonitoring_BATS-BETS'!B80+'Third_Line_MLTS-BATS'!B80,IF($E81="Y",Base!B77-Option4b!I81,IF($E81="N",0))))</f>
        <v>39.96000000000015</v>
      </c>
      <c r="C81" s="387">
        <f>IF($E81="Y1",'WindMonitoring_BATS-BETS'!C80,IF($E81="Y2",'WindMonitoring_BATS-BETS'!C80+'Third_Line_MLTS-BATS'!C80,IF($E81="Y",Base!C77-Option4b!J81,IF($E81="N",0))))</f>
        <v>200.28000000000247</v>
      </c>
      <c r="D81" s="387">
        <f>IF($E81="Y1",'WindMonitoring_BATS-BETS'!D80,IF($E81="Y2",'WindMonitoring_BATS-BETS'!D80+'Third_Line_MLTS-BATS'!D80,IF($E81="Y",Base!D77-Option4b!K81,IF($E81="N",0))))</f>
        <v>129.85176000000138</v>
      </c>
      <c r="E81" s="261" t="str">
        <f t="shared" si="16"/>
        <v>Y1</v>
      </c>
      <c r="F81" s="52">
        <f t="shared" si="17"/>
        <v>8044.3165320000853</v>
      </c>
      <c r="H81" s="72" t="s">
        <v>67</v>
      </c>
      <c r="I81" s="40">
        <v>609.04</v>
      </c>
      <c r="J81" s="40">
        <v>9050.4000000000015</v>
      </c>
      <c r="K81" s="40">
        <v>7475.5259999999998</v>
      </c>
      <c r="L81" s="40">
        <f t="shared" si="15"/>
        <v>463108.8357</v>
      </c>
      <c r="N81" s="45"/>
      <c r="O81" s="54"/>
    </row>
    <row r="82" spans="1:15" s="270" customFormat="1" x14ac:dyDescent="0.3">
      <c r="A82" s="72" t="s">
        <v>68</v>
      </c>
      <c r="B82" s="387">
        <f>IF($E82="Y1",'WindMonitoring_BATS-BETS'!B81,IF($E82="Y2",'WindMonitoring_BATS-BETS'!B81+'Third_Line_MLTS-BATS'!B81,IF($E82="Y",Base!B78-Option4b!I82,IF($E82="N",0))))</f>
        <v>49.770000000000095</v>
      </c>
      <c r="C82" s="387">
        <f>IF($E82="Y1",'WindMonitoring_BATS-BETS'!C81,IF($E82="Y2",'WindMonitoring_BATS-BETS'!C81+'Third_Line_MLTS-BATS'!C81,IF($E82="Y",Base!C78-Option4b!J82,IF($E82="N",0))))</f>
        <v>1045.4900000000052</v>
      </c>
      <c r="D82" s="387">
        <f>IF($E82="Y1",'WindMonitoring_BATS-BETS'!D81,IF($E82="Y2",'WindMonitoring_BATS-BETS'!D81+'Third_Line_MLTS-BATS'!D81,IF($E82="Y",Base!D78-Option4b!K82,IF($E82="N",0))))</f>
        <v>595.82528000000093</v>
      </c>
      <c r="E82" s="261" t="str">
        <f t="shared" si="16"/>
        <v>Y2</v>
      </c>
      <c r="F82" s="52">
        <f t="shared" si="17"/>
        <v>36911.376096000058</v>
      </c>
      <c r="H82" s="72" t="s">
        <v>68</v>
      </c>
      <c r="I82" s="40">
        <v>911.06000000000006</v>
      </c>
      <c r="J82" s="40">
        <v>9572.23</v>
      </c>
      <c r="K82" s="40">
        <v>7713.1304799999989</v>
      </c>
      <c r="L82" s="40">
        <f t="shared" si="15"/>
        <v>477828.43323599995</v>
      </c>
      <c r="N82" s="45"/>
      <c r="O82" s="54"/>
    </row>
    <row r="83" spans="1:15" s="270" customFormat="1" x14ac:dyDescent="0.3">
      <c r="A83" s="72" t="s">
        <v>69</v>
      </c>
      <c r="B83" s="387">
        <f>IF($E83="Y1",'WindMonitoring_BATS-BETS'!B82,IF($E83="Y2",'WindMonitoring_BATS-BETS'!B82+'Third_Line_MLTS-BATS'!B82,IF($E83="Y",Base!B79-Option4b!I83,IF($E83="N",0))))</f>
        <v>139.37</v>
      </c>
      <c r="C83" s="387">
        <f>IF($E83="Y1",'WindMonitoring_BATS-BETS'!C82,IF($E83="Y2",'WindMonitoring_BATS-BETS'!C82+'Third_Line_MLTS-BATS'!C82,IF($E83="Y",Base!C79-Option4b!J83,IF($E83="N",0))))</f>
        <v>1021.6200000000026</v>
      </c>
      <c r="D83" s="387">
        <f>IF($E83="Y1",'WindMonitoring_BATS-BETS'!D82,IF($E83="Y2",'WindMonitoring_BATS-BETS'!D82+'Third_Line_MLTS-BATS'!D82,IF($E83="Y",Base!D79-Option4b!K83,IF($E83="N",0))))</f>
        <v>602.62104000000181</v>
      </c>
      <c r="E83" s="261" t="str">
        <f t="shared" si="16"/>
        <v>Y2</v>
      </c>
      <c r="F83" s="52">
        <f t="shared" si="17"/>
        <v>37332.373428000115</v>
      </c>
      <c r="H83" s="72" t="s">
        <v>69</v>
      </c>
      <c r="I83" s="40">
        <v>995.0100000000001</v>
      </c>
      <c r="J83" s="40">
        <v>10001.91</v>
      </c>
      <c r="K83" s="40">
        <v>7983.1550399999996</v>
      </c>
      <c r="L83" s="40">
        <f t="shared" si="15"/>
        <v>494556.45472799998</v>
      </c>
      <c r="N83" s="39"/>
      <c r="O83" s="39"/>
    </row>
    <row r="84" spans="1:15" s="270" customFormat="1" x14ac:dyDescent="0.3">
      <c r="A84" s="72" t="s">
        <v>70</v>
      </c>
      <c r="B84" s="387">
        <f>IF($E84="Y1",'WindMonitoring_BATS-BETS'!B83,IF($E84="Y2",'WindMonitoring_BATS-BETS'!B83+'Third_Line_MLTS-BATS'!B83,IF($E84="Y",Base!B80-Option4b!I84,IF($E84="N",0))))</f>
        <v>164.12</v>
      </c>
      <c r="C84" s="387">
        <f>IF($E84="Y1",'WindMonitoring_BATS-BETS'!C83,IF($E84="Y2",'WindMonitoring_BATS-BETS'!C83+'Third_Line_MLTS-BATS'!C83,IF($E84="Y",Base!C80-Option4b!J84,IF($E84="N",0))))</f>
        <v>1889.3999999999978</v>
      </c>
      <c r="D84" s="387">
        <f>IF($E84="Y1",'WindMonitoring_BATS-BETS'!D83,IF($E84="Y2",'WindMonitoring_BATS-BETS'!D83+'Third_Line_MLTS-BATS'!D83,IF($E84="Y",Base!D80-Option4b!K84,IF($E84="N",0))))</f>
        <v>1161.453599999998</v>
      </c>
      <c r="E84" s="261" t="str">
        <f t="shared" si="16"/>
        <v>Y</v>
      </c>
      <c r="F84" s="52">
        <f t="shared" si="17"/>
        <v>71952.050519999873</v>
      </c>
      <c r="H84" s="72" t="s">
        <v>70</v>
      </c>
      <c r="I84" s="40">
        <v>960.52999999999986</v>
      </c>
      <c r="J84" s="40">
        <v>10209.14</v>
      </c>
      <c r="K84" s="40">
        <v>8059.2725600000003</v>
      </c>
      <c r="L84" s="40">
        <f t="shared" si="15"/>
        <v>499271.93509200006</v>
      </c>
      <c r="N84" s="39"/>
      <c r="O84" s="39"/>
    </row>
    <row r="85" spans="1:15" s="270" customFormat="1" x14ac:dyDescent="0.3">
      <c r="A85" s="72" t="s">
        <v>71</v>
      </c>
      <c r="B85" s="387">
        <f>IF($E85="Y1",'WindMonitoring_BATS-BETS'!B84,IF($E85="Y2",'WindMonitoring_BATS-BETS'!B84+'Third_Line_MLTS-BATS'!B84,IF($E85="Y",Base!B81-Option4b!I85,IF($E85="N",0))))</f>
        <v>341.38</v>
      </c>
      <c r="C85" s="387">
        <f>IF($E85="Y1",'WindMonitoring_BATS-BETS'!C84,IF($E85="Y2",'WindMonitoring_BATS-BETS'!C84+'Third_Line_MLTS-BATS'!C84,IF($E85="Y",Base!C81-Option4b!J85,IF($E85="N",0))))</f>
        <v>2100.3000000000029</v>
      </c>
      <c r="D85" s="387">
        <f>IF($E85="Y1",'WindMonitoring_BATS-BETS'!D84,IF($E85="Y2",'WindMonitoring_BATS-BETS'!D84+'Third_Line_MLTS-BATS'!D84,IF($E85="Y",Base!D81-Option4b!K85,IF($E85="N",0))))</f>
        <v>1262.5804800000024</v>
      </c>
      <c r="E85" s="261" t="str">
        <f t="shared" si="16"/>
        <v>Y</v>
      </c>
      <c r="F85" s="52">
        <f t="shared" si="17"/>
        <v>78216.860736000148</v>
      </c>
      <c r="H85" s="72" t="s">
        <v>71</v>
      </c>
      <c r="I85" s="40">
        <v>961.6</v>
      </c>
      <c r="J85" s="40">
        <v>10621.77</v>
      </c>
      <c r="K85" s="40">
        <v>8229.7432799999988</v>
      </c>
      <c r="L85" s="40">
        <f t="shared" si="15"/>
        <v>509832.59619599994</v>
      </c>
      <c r="N85" s="39"/>
      <c r="O85" s="39"/>
    </row>
    <row r="86" spans="1:15" s="270" customFormat="1" x14ac:dyDescent="0.3">
      <c r="A86" s="72" t="s">
        <v>72</v>
      </c>
      <c r="B86" s="387">
        <f>IF($E86="Y1",'WindMonitoring_BATS-BETS'!B85,IF($E86="Y2",'WindMonitoring_BATS-BETS'!B85+'Third_Line_MLTS-BATS'!B85,IF($E86="Y",Base!B82-Option4b!I86,IF($E86="N",0))))</f>
        <v>131.96000000000026</v>
      </c>
      <c r="C86" s="387">
        <f>IF($E86="Y1",'WindMonitoring_BATS-BETS'!C85,IF($E86="Y2",'WindMonitoring_BATS-BETS'!C85+'Third_Line_MLTS-BATS'!C85,IF($E86="Y",Base!C82-Option4b!J86,IF($E86="N",0))))</f>
        <v>2103.08</v>
      </c>
      <c r="D86" s="387">
        <f>IF($E86="Y1",'WindMonitoring_BATS-BETS'!D85,IF($E86="Y2",'WindMonitoring_BATS-BETS'!D85+'Third_Line_MLTS-BATS'!D85,IF($E86="Y",Base!D82-Option4b!K86,IF($E86="N",0))))</f>
        <v>1314.1431200000006</v>
      </c>
      <c r="E86" s="261" t="str">
        <f t="shared" si="16"/>
        <v>Y</v>
      </c>
      <c r="F86" s="52">
        <f t="shared" si="17"/>
        <v>81411.16628400005</v>
      </c>
      <c r="H86" s="72" t="s">
        <v>72</v>
      </c>
      <c r="I86" s="40">
        <v>1078.51</v>
      </c>
      <c r="J86" s="40">
        <v>11214.55</v>
      </c>
      <c r="K86" s="40">
        <v>8481.8312799999985</v>
      </c>
      <c r="L86" s="40">
        <f t="shared" si="15"/>
        <v>525449.44779599993</v>
      </c>
    </row>
    <row r="87" spans="1:15" s="270" customFormat="1" x14ac:dyDescent="0.3">
      <c r="A87" s="72" t="s">
        <v>73</v>
      </c>
      <c r="B87" s="387">
        <f>IF($E87="Y1",'WindMonitoring_BATS-BETS'!B86,IF($E87="Y2",'WindMonitoring_BATS-BETS'!B86+'Third_Line_MLTS-BATS'!B86,IF($E87="Y",Base!B83-Option4b!I87,IF($E87="N",0))))</f>
        <v>145.40999999999963</v>
      </c>
      <c r="C87" s="387">
        <f>IF($E87="Y1",'WindMonitoring_BATS-BETS'!C86,IF($E87="Y2",'WindMonitoring_BATS-BETS'!C86+'Third_Line_MLTS-BATS'!C86,IF($E87="Y",Base!C83-Option4b!J87,IF($E87="N",0))))</f>
        <v>2598.2499999999964</v>
      </c>
      <c r="D87" s="387">
        <f>IF($E87="Y1",'WindMonitoring_BATS-BETS'!D86,IF($E87="Y2",'WindMonitoring_BATS-BETS'!D86+'Third_Line_MLTS-BATS'!D86,IF($E87="Y",Base!D83-Option4b!K87,IF($E87="N",0))))</f>
        <v>1637.1157600000006</v>
      </c>
      <c r="E87" s="261" t="str">
        <f t="shared" si="16"/>
        <v>Y</v>
      </c>
      <c r="F87" s="52">
        <f t="shared" si="17"/>
        <v>101419.32133200004</v>
      </c>
      <c r="H87" s="72" t="s">
        <v>73</v>
      </c>
      <c r="I87" s="40">
        <v>1258.3100000000002</v>
      </c>
      <c r="J87" s="40">
        <v>12342.060000000001</v>
      </c>
      <c r="K87" s="40">
        <v>8865.5956799999985</v>
      </c>
      <c r="L87" s="40">
        <f t="shared" si="15"/>
        <v>549223.65237599995</v>
      </c>
    </row>
    <row r="88" spans="1:15" s="270" customFormat="1" ht="15" thickBot="1" x14ac:dyDescent="0.35">
      <c r="E88" s="60">
        <f>SUM(COUNTIF(E78:E87,{"Y","Y1","Y2"}))</f>
        <v>8</v>
      </c>
      <c r="F88" s="62">
        <f>-PV($G$6,$G$7-E88,F87)</f>
        <v>966158.54735038709</v>
      </c>
      <c r="G88" s="55" t="s">
        <v>11</v>
      </c>
    </row>
    <row r="89" spans="1:15" s="270" customFormat="1" ht="15" thickTop="1" x14ac:dyDescent="0.3"/>
    <row r="90" spans="1:15" s="270" customFormat="1" ht="15.6" x14ac:dyDescent="0.3">
      <c r="A90" s="409" t="s">
        <v>53</v>
      </c>
      <c r="B90" s="410"/>
      <c r="C90" s="410"/>
      <c r="D90" s="410"/>
      <c r="E90" s="410"/>
      <c r="F90" s="411"/>
      <c r="H90" s="406" t="s">
        <v>63</v>
      </c>
      <c r="I90" s="406"/>
      <c r="J90" s="406"/>
      <c r="K90" s="406"/>
      <c r="L90" s="406"/>
    </row>
    <row r="91" spans="1:15" s="270" customFormat="1" ht="57.6" x14ac:dyDescent="0.3">
      <c r="A91" s="260" t="s">
        <v>5</v>
      </c>
      <c r="B91" s="51" t="s">
        <v>151</v>
      </c>
      <c r="C91" s="51" t="s">
        <v>152</v>
      </c>
      <c r="D91" s="51" t="s">
        <v>153</v>
      </c>
      <c r="E91" s="51" t="s">
        <v>12</v>
      </c>
      <c r="F91" s="51" t="s">
        <v>134</v>
      </c>
      <c r="H91" s="260" t="s">
        <v>5</v>
      </c>
      <c r="I91" s="51" t="s">
        <v>75</v>
      </c>
      <c r="J91" s="51" t="s">
        <v>51</v>
      </c>
      <c r="K91" s="50" t="s">
        <v>0</v>
      </c>
      <c r="L91" s="51" t="s">
        <v>58</v>
      </c>
    </row>
    <row r="92" spans="1:15" s="270" customFormat="1" x14ac:dyDescent="0.3">
      <c r="A92" s="72" t="s">
        <v>64</v>
      </c>
      <c r="B92" s="387">
        <f>IF($E92="Y1",'WindMonitoring_BATS-BETS'!B91,IF($E92="Y2",'WindMonitoring_BATS-BETS'!B91+'Third_Line_MLTS-BATS'!B91,IF($E92="Y",Base!B88-Option4b!I92,IF($E92="N",0))))</f>
        <v>0</v>
      </c>
      <c r="C92" s="387">
        <f>IF($E92="Y1",'WindMonitoring_BATS-BETS'!C91,IF($E92="Y2",'WindMonitoring_BATS-BETS'!C91+'Third_Line_MLTS-BATS'!C91,IF($E92="Y",Base!C88-Option4b!J92,IF($E92="N",0))))</f>
        <v>0</v>
      </c>
      <c r="D92" s="387">
        <f>IF($E92="Y1",'WindMonitoring_BATS-BETS'!D91,IF($E92="Y2",'WindMonitoring_BATS-BETS'!D91+'Third_Line_MLTS-BATS'!D91,IF($E92="Y",Base!D88-Option4b!K92,IF($E92="N",0))))</f>
        <v>0</v>
      </c>
      <c r="E92" s="261" t="str">
        <f>E36</f>
        <v>N</v>
      </c>
      <c r="F92" s="52">
        <f>IF(OR(E92="Y",E92="Y1",E92="Y2"),D92*$G$5,0)</f>
        <v>0</v>
      </c>
      <c r="H92" s="72" t="s">
        <v>64</v>
      </c>
      <c r="I92" s="40">
        <v>553.71</v>
      </c>
      <c r="J92" s="40">
        <v>8763.6</v>
      </c>
      <c r="K92" s="40">
        <v>7320.5135999999993</v>
      </c>
      <c r="L92" s="40">
        <f t="shared" ref="L92:L101" si="18">K92*$G$5</f>
        <v>453505.81751999998</v>
      </c>
    </row>
    <row r="93" spans="1:15" s="270" customFormat="1" x14ac:dyDescent="0.3">
      <c r="A93" s="72" t="s">
        <v>65</v>
      </c>
      <c r="B93" s="387">
        <f>IF($E93="Y1",'WindMonitoring_BATS-BETS'!B92,IF($E93="Y2",'WindMonitoring_BATS-BETS'!B92+'Third_Line_MLTS-BATS'!B92,IF($E93="Y",Base!B89-Option4b!I93,IF($E93="N",0))))</f>
        <v>0</v>
      </c>
      <c r="C93" s="387">
        <f>IF($E93="Y1",'WindMonitoring_BATS-BETS'!C92,IF($E93="Y2",'WindMonitoring_BATS-BETS'!C92+'Third_Line_MLTS-BATS'!C92,IF($E93="Y",Base!C89-Option4b!J93,IF($E93="N",0))))</f>
        <v>0</v>
      </c>
      <c r="D93" s="387">
        <f>IF($E93="Y1",'WindMonitoring_BATS-BETS'!D92,IF($E93="Y2",'WindMonitoring_BATS-BETS'!D92+'Third_Line_MLTS-BATS'!D92,IF($E93="Y",Base!D89-Option4b!K93,IF($E93="N",0))))</f>
        <v>0</v>
      </c>
      <c r="E93" s="261" t="str">
        <f t="shared" ref="E93:E101" si="19">E37</f>
        <v>N</v>
      </c>
      <c r="F93" s="52">
        <f t="shared" ref="F93:F101" si="20">IF(OR(E93="Y",E93="Y1",E93="Y2"),D93*$G$5,0)</f>
        <v>0</v>
      </c>
      <c r="H93" s="72" t="s">
        <v>65</v>
      </c>
      <c r="I93" s="40">
        <v>582.72</v>
      </c>
      <c r="J93" s="40">
        <v>8882.1200000000008</v>
      </c>
      <c r="K93" s="40">
        <v>7312.4799199999998</v>
      </c>
      <c r="L93" s="40">
        <f t="shared" si="18"/>
        <v>453008.13104399998</v>
      </c>
    </row>
    <row r="94" spans="1:15" s="270" customFormat="1" x14ac:dyDescent="0.3">
      <c r="A94" s="72" t="s">
        <v>66</v>
      </c>
      <c r="B94" s="387">
        <f>IF($E94="Y1",'WindMonitoring_BATS-BETS'!B93,IF($E94="Y2",'WindMonitoring_BATS-BETS'!B93+'Third_Line_MLTS-BATS'!B93,IF($E94="Y",Base!B90-Option4b!I94,IF($E94="N",0))))</f>
        <v>4.1400000000001</v>
      </c>
      <c r="C94" s="387">
        <f>IF($E94="Y1",'WindMonitoring_BATS-BETS'!C93,IF($E94="Y2",'WindMonitoring_BATS-BETS'!C93+'Third_Line_MLTS-BATS'!C93,IF($E94="Y",Base!C90-Option4b!J94,IF($E94="N",0))))</f>
        <v>235.40999999999985</v>
      </c>
      <c r="D94" s="387">
        <f>IF($E94="Y1",'WindMonitoring_BATS-BETS'!D93,IF($E94="Y2",'WindMonitoring_BATS-BETS'!D93+'Third_Line_MLTS-BATS'!D93,IF($E94="Y",Base!D90-Option4b!K94,IF($E94="N",0))))</f>
        <v>221.57352000000083</v>
      </c>
      <c r="E94" s="261" t="str">
        <f t="shared" si="19"/>
        <v>Y1</v>
      </c>
      <c r="F94" s="52">
        <f t="shared" si="20"/>
        <v>13726.479564000052</v>
      </c>
      <c r="H94" s="72" t="s">
        <v>66</v>
      </c>
      <c r="I94" s="40">
        <v>645.58000000000004</v>
      </c>
      <c r="J94" s="40">
        <v>9265.5200000000023</v>
      </c>
      <c r="K94" s="40">
        <v>7550.0957600000002</v>
      </c>
      <c r="L94" s="40">
        <f t="shared" si="18"/>
        <v>467728.43233200005</v>
      </c>
    </row>
    <row r="95" spans="1:15" s="270" customFormat="1" x14ac:dyDescent="0.3">
      <c r="A95" s="72" t="s">
        <v>67</v>
      </c>
      <c r="B95" s="387">
        <f>IF($E95="Y1",'WindMonitoring_BATS-BETS'!B94,IF($E95="Y2",'WindMonitoring_BATS-BETS'!B94+'Third_Line_MLTS-BATS'!B94,IF($E95="Y",Base!B91-Option4b!I95,IF($E95="N",0))))</f>
        <v>32.919999999999959</v>
      </c>
      <c r="C95" s="387">
        <f>IF($E95="Y1",'WindMonitoring_BATS-BETS'!C94,IF($E95="Y2",'WindMonitoring_BATS-BETS'!C94+'Third_Line_MLTS-BATS'!C94,IF($E95="Y",Base!C91-Option4b!J95,IF($E95="N",0))))</f>
        <v>276.59000000000015</v>
      </c>
      <c r="D95" s="387">
        <f>IF($E95="Y1",'WindMonitoring_BATS-BETS'!D94,IF($E95="Y2",'WindMonitoring_BATS-BETS'!D94+'Third_Line_MLTS-BATS'!D94,IF($E95="Y",Base!D91-Option4b!K95,IF($E95="N",0))))</f>
        <v>229.70048000000043</v>
      </c>
      <c r="E95" s="261" t="str">
        <f t="shared" si="19"/>
        <v>Y1</v>
      </c>
      <c r="F95" s="52">
        <f t="shared" si="20"/>
        <v>14229.944736000027</v>
      </c>
      <c r="H95" s="72" t="s">
        <v>67</v>
      </c>
      <c r="I95" s="40">
        <v>692.4</v>
      </c>
      <c r="J95" s="40">
        <v>9449.5199999999986</v>
      </c>
      <c r="K95" s="40">
        <v>7594.31808</v>
      </c>
      <c r="L95" s="40">
        <f t="shared" si="18"/>
        <v>470468.00505600002</v>
      </c>
    </row>
    <row r="96" spans="1:15" s="270" customFormat="1" x14ac:dyDescent="0.3">
      <c r="A96" s="72" t="s">
        <v>68</v>
      </c>
      <c r="B96" s="387">
        <f>IF($E96="Y1",'WindMonitoring_BATS-BETS'!B95,IF($E96="Y2",'WindMonitoring_BATS-BETS'!B95+'Third_Line_MLTS-BATS'!B95,IF($E96="Y",Base!B92-Option4b!I96,IF($E96="N",0))))</f>
        <v>125.17999999999984</v>
      </c>
      <c r="C96" s="387">
        <f>IF($E96="Y1",'WindMonitoring_BATS-BETS'!C95,IF($E96="Y2",'WindMonitoring_BATS-BETS'!C95+'Third_Line_MLTS-BATS'!C95,IF($E96="Y",Base!C92-Option4b!J96,IF($E96="N",0))))</f>
        <v>614.61999999999898</v>
      </c>
      <c r="D96" s="387">
        <f>IF($E96="Y1",'WindMonitoring_BATS-BETS'!D95,IF($E96="Y2",'WindMonitoring_BATS-BETS'!D95+'Third_Line_MLTS-BATS'!D95,IF($E96="Y",Base!D92-Option4b!K96,IF($E96="N",0))))</f>
        <v>656.90895999999884</v>
      </c>
      <c r="E96" s="261" t="str">
        <f t="shared" si="19"/>
        <v>Y2</v>
      </c>
      <c r="F96" s="52">
        <f t="shared" si="20"/>
        <v>40695.510071999932</v>
      </c>
      <c r="H96" s="72" t="s">
        <v>68</v>
      </c>
      <c r="I96" s="40">
        <v>764.91</v>
      </c>
      <c r="J96" s="40">
        <v>9729.43</v>
      </c>
      <c r="K96" s="40">
        <v>7664.8434399999996</v>
      </c>
      <c r="L96" s="40">
        <f t="shared" si="18"/>
        <v>474837.05110799999</v>
      </c>
    </row>
    <row r="97" spans="1:12" s="270" customFormat="1" x14ac:dyDescent="0.3">
      <c r="A97" s="72" t="s">
        <v>69</v>
      </c>
      <c r="B97" s="387">
        <f>IF($E97="Y1",'WindMonitoring_BATS-BETS'!B96,IF($E97="Y2",'WindMonitoring_BATS-BETS'!B96+'Third_Line_MLTS-BATS'!B96,IF($E97="Y",Base!B93-Option4b!I97,IF($E97="N",0))))</f>
        <v>169.05000000000018</v>
      </c>
      <c r="C97" s="387">
        <f>IF($E97="Y1",'WindMonitoring_BATS-BETS'!C96,IF($E97="Y2",'WindMonitoring_BATS-BETS'!C96+'Third_Line_MLTS-BATS'!C96,IF($E97="Y",Base!C93-Option4b!J97,IF($E97="N",0))))</f>
        <v>780.53999999999724</v>
      </c>
      <c r="D97" s="387">
        <f>IF($E97="Y1",'WindMonitoring_BATS-BETS'!D96,IF($E97="Y2",'WindMonitoring_BATS-BETS'!D96+'Third_Line_MLTS-BATS'!D96,IF($E97="Y",Base!D93-Option4b!K97,IF($E97="N",0))))</f>
        <v>729.75984000000062</v>
      </c>
      <c r="E97" s="261" t="str">
        <f t="shared" si="19"/>
        <v>Y2</v>
      </c>
      <c r="F97" s="52">
        <f t="shared" si="20"/>
        <v>45208.62208800004</v>
      </c>
      <c r="H97" s="72" t="s">
        <v>69</v>
      </c>
      <c r="I97" s="40">
        <v>864.18000000000006</v>
      </c>
      <c r="J97" s="40">
        <v>10402.049999999999</v>
      </c>
      <c r="K97" s="40">
        <v>7976.4134399999984</v>
      </c>
      <c r="L97" s="40">
        <f t="shared" si="18"/>
        <v>494138.81260799995</v>
      </c>
    </row>
    <row r="98" spans="1:12" s="270" customFormat="1" x14ac:dyDescent="0.3">
      <c r="A98" s="72" t="s">
        <v>70</v>
      </c>
      <c r="B98" s="387">
        <f>IF($E98="Y1",'WindMonitoring_BATS-BETS'!B97,IF($E98="Y2",'WindMonitoring_BATS-BETS'!B97+'Third_Line_MLTS-BATS'!B97,IF($E98="Y",Base!B94-Option4b!I98,IF($E98="N",0))))</f>
        <v>175.6600000000002</v>
      </c>
      <c r="C98" s="387">
        <f>IF($E98="Y1",'WindMonitoring_BATS-BETS'!C97,IF($E98="Y2",'WindMonitoring_BATS-BETS'!C97+'Third_Line_MLTS-BATS'!C97,IF($E98="Y",Base!C94-Option4b!J98,IF($E98="N",0))))</f>
        <v>780.35999999999876</v>
      </c>
      <c r="D98" s="387">
        <f>IF($E98="Y1",'WindMonitoring_BATS-BETS'!D97,IF($E98="Y2",'WindMonitoring_BATS-BETS'!D97+'Third_Line_MLTS-BATS'!D97,IF($E98="Y",Base!D94-Option4b!K98,IF($E98="N",0))))</f>
        <v>527.5031999999992</v>
      </c>
      <c r="E98" s="261" t="str">
        <f t="shared" si="19"/>
        <v>Y</v>
      </c>
      <c r="F98" s="52">
        <f t="shared" si="20"/>
        <v>32678.823239999951</v>
      </c>
      <c r="H98" s="72" t="s">
        <v>70</v>
      </c>
      <c r="I98" s="40">
        <v>897.21999999999991</v>
      </c>
      <c r="J98" s="40">
        <v>11500.82</v>
      </c>
      <c r="K98" s="40">
        <v>8475.1618400000007</v>
      </c>
      <c r="L98" s="40">
        <f t="shared" si="18"/>
        <v>525036.2759880001</v>
      </c>
    </row>
    <row r="99" spans="1:12" s="270" customFormat="1" x14ac:dyDescent="0.3">
      <c r="A99" s="72" t="s">
        <v>71</v>
      </c>
      <c r="B99" s="387">
        <f>IF($E99="Y1",'WindMonitoring_BATS-BETS'!B98,IF($E99="Y2",'WindMonitoring_BATS-BETS'!B98+'Third_Line_MLTS-BATS'!B98,IF($E99="Y",Base!B95-Option4b!I99,IF($E99="N",0))))</f>
        <v>181.25000000000023</v>
      </c>
      <c r="C99" s="387">
        <f>IF($E99="Y1",'WindMonitoring_BATS-BETS'!C98,IF($E99="Y2",'WindMonitoring_BATS-BETS'!C98+'Third_Line_MLTS-BATS'!C98,IF($E99="Y",Base!C95-Option4b!J99,IF($E99="N",0))))</f>
        <v>891.52000000000044</v>
      </c>
      <c r="D99" s="387">
        <f>IF($E99="Y1",'WindMonitoring_BATS-BETS'!D98,IF($E99="Y2",'WindMonitoring_BATS-BETS'!D98+'Third_Line_MLTS-BATS'!D98,IF($E99="Y",Base!D95-Option4b!K99,IF($E99="N",0))))</f>
        <v>601.22535999999855</v>
      </c>
      <c r="E99" s="261" t="str">
        <f t="shared" si="19"/>
        <v>Y</v>
      </c>
      <c r="F99" s="52">
        <f t="shared" si="20"/>
        <v>37245.911051999909</v>
      </c>
      <c r="H99" s="72" t="s">
        <v>71</v>
      </c>
      <c r="I99" s="40">
        <v>937.18000000000006</v>
      </c>
      <c r="J99" s="40">
        <v>12758.759999999998</v>
      </c>
      <c r="K99" s="40">
        <v>8916.2275200000004</v>
      </c>
      <c r="L99" s="40">
        <f t="shared" si="18"/>
        <v>552360.29486400005</v>
      </c>
    </row>
    <row r="100" spans="1:12" s="270" customFormat="1" x14ac:dyDescent="0.3">
      <c r="A100" s="72" t="s">
        <v>72</v>
      </c>
      <c r="B100" s="387">
        <f>IF($E100="Y1",'WindMonitoring_BATS-BETS'!B99,IF($E100="Y2",'WindMonitoring_BATS-BETS'!B99+'Third_Line_MLTS-BATS'!B99,IF($E100="Y",Base!B96-Option4b!I100,IF($E100="N",0))))</f>
        <v>105.34999999999968</v>
      </c>
      <c r="C100" s="387">
        <f>IF($E100="Y1",'WindMonitoring_BATS-BETS'!C99,IF($E100="Y2",'WindMonitoring_BATS-BETS'!C99+'Third_Line_MLTS-BATS'!C99,IF($E100="Y",Base!C96-Option4b!J100,IF($E100="N",0))))</f>
        <v>580.13000000000102</v>
      </c>
      <c r="D100" s="387">
        <f>IF($E100="Y1",'WindMonitoring_BATS-BETS'!D99,IF($E100="Y2",'WindMonitoring_BATS-BETS'!D99+'Third_Line_MLTS-BATS'!D99,IF($E100="Y",Base!D96-Option4b!K100,IF($E100="N",0))))</f>
        <v>384.17815999999948</v>
      </c>
      <c r="E100" s="261" t="str">
        <f t="shared" si="19"/>
        <v>Y</v>
      </c>
      <c r="F100" s="52">
        <f t="shared" si="20"/>
        <v>23799.837011999967</v>
      </c>
      <c r="H100" s="72" t="s">
        <v>72</v>
      </c>
      <c r="I100" s="40">
        <v>966.34000000000015</v>
      </c>
      <c r="J100" s="40">
        <v>14258.09</v>
      </c>
      <c r="K100" s="40">
        <v>9377.4387199999983</v>
      </c>
      <c r="L100" s="40">
        <f t="shared" si="18"/>
        <v>580932.32870399987</v>
      </c>
    </row>
    <row r="101" spans="1:12" s="270" customFormat="1" x14ac:dyDescent="0.3">
      <c r="A101" s="72" t="s">
        <v>73</v>
      </c>
      <c r="B101" s="387">
        <f>IF($E101="Y1",'WindMonitoring_BATS-BETS'!B100,IF($E101="Y2",'WindMonitoring_BATS-BETS'!B100+'Third_Line_MLTS-BATS'!B100,IF($E101="Y",Base!B97-Option4b!I101,IF($E101="N",0))))</f>
        <v>109.03999999999974</v>
      </c>
      <c r="C101" s="387">
        <f>IF($E101="Y1",'WindMonitoring_BATS-BETS'!C100,IF($E101="Y2",'WindMonitoring_BATS-BETS'!C100+'Third_Line_MLTS-BATS'!C100,IF($E101="Y",Base!C97-Option4b!J101,IF($E101="N",0))))</f>
        <v>480.68999999999505</v>
      </c>
      <c r="D101" s="387">
        <f>IF($E101="Y1",'WindMonitoring_BATS-BETS'!D100,IF($E101="Y2",'WindMonitoring_BATS-BETS'!D100+'Third_Line_MLTS-BATS'!D100,IF($E101="Y",Base!D97-Option4b!K101,IF($E101="N",0))))</f>
        <v>362.55095999999867</v>
      </c>
      <c r="E101" s="261" t="str">
        <f t="shared" si="19"/>
        <v>Y</v>
      </c>
      <c r="F101" s="52">
        <f t="shared" si="20"/>
        <v>22460.031971999917</v>
      </c>
      <c r="H101" s="72" t="s">
        <v>73</v>
      </c>
      <c r="I101" s="40">
        <v>1073.68</v>
      </c>
      <c r="J101" s="40">
        <v>16729.200000000004</v>
      </c>
      <c r="K101" s="40">
        <v>10335.486480000001</v>
      </c>
      <c r="L101" s="40">
        <f t="shared" si="18"/>
        <v>640283.38743600016</v>
      </c>
    </row>
    <row r="102" spans="1:12" s="270" customFormat="1" ht="15" thickBot="1" x14ac:dyDescent="0.35">
      <c r="E102" s="60">
        <f>SUM(COUNTIF(E92:E101,{"Y","Y1","Y2"}))</f>
        <v>8</v>
      </c>
      <c r="F102" s="62">
        <f>-PV($G$6,$G$7-E102,F101)</f>
        <v>213962.70038600502</v>
      </c>
      <c r="G102" s="55" t="s">
        <v>11</v>
      </c>
    </row>
    <row r="103" spans="1:12" ht="15" thickTop="1" x14ac:dyDescent="0.3"/>
    <row r="104" spans="1:12" x14ac:dyDescent="0.3">
      <c r="A104" s="363" t="s">
        <v>121</v>
      </c>
      <c r="B104" s="357"/>
      <c r="C104" s="357"/>
      <c r="D104" s="357"/>
      <c r="E104" s="357"/>
    </row>
    <row r="105" spans="1:12" x14ac:dyDescent="0.3">
      <c r="A105" s="408" t="s">
        <v>5</v>
      </c>
      <c r="B105" s="72" t="s">
        <v>3</v>
      </c>
      <c r="C105" s="344">
        <f>NPV_Summary!$F$35*Option1a!$G$5+Option1a!$G$5</f>
        <v>74.34</v>
      </c>
      <c r="D105" s="26">
        <f>NPV_Summary!$G$35*Option1a!$G$5+Option1a!$G$5</f>
        <v>49.56</v>
      </c>
      <c r="E105" s="357"/>
    </row>
    <row r="106" spans="1:12" ht="43.2" x14ac:dyDescent="0.3">
      <c r="A106" s="408"/>
      <c r="B106" s="51" t="s">
        <v>12</v>
      </c>
      <c r="C106" s="50" t="s">
        <v>25</v>
      </c>
      <c r="D106" s="50" t="s">
        <v>25</v>
      </c>
      <c r="E106" s="357"/>
    </row>
    <row r="107" spans="1:12" x14ac:dyDescent="0.3">
      <c r="A107" s="362" t="s">
        <v>64</v>
      </c>
      <c r="B107" s="3" t="str">
        <f>H17</f>
        <v>N</v>
      </c>
      <c r="C107" s="5">
        <f>IF(OR(B107="Y",B107="Y1",B107="Y2"),D17*$C$105/1000,0)</f>
        <v>0</v>
      </c>
      <c r="D107" s="5">
        <f>IF(OR(B107="Y",B107="Y1",B107="Y2"),D17*$D$105/1000,0)</f>
        <v>0</v>
      </c>
      <c r="E107" s="357"/>
    </row>
    <row r="108" spans="1:12" x14ac:dyDescent="0.3">
      <c r="A108" s="362" t="s">
        <v>65</v>
      </c>
      <c r="B108" s="3" t="str">
        <f t="shared" ref="B108:B116" si="21">H18</f>
        <v>N</v>
      </c>
      <c r="C108" s="5">
        <f t="shared" ref="C108:C116" si="22">IF(OR(B108="Y",B108="Y1",B108="Y2"),D18*$C$105/1000,0)</f>
        <v>0</v>
      </c>
      <c r="D108" s="5">
        <f t="shared" ref="D108:D116" si="23">IF(OR(B108="Y",B108="Y1",B108="Y2"),D18*$D$105/1000,0)</f>
        <v>0</v>
      </c>
      <c r="E108" s="357"/>
    </row>
    <row r="109" spans="1:12" x14ac:dyDescent="0.3">
      <c r="A109" s="362" t="s">
        <v>66</v>
      </c>
      <c r="B109" s="3" t="str">
        <f t="shared" si="21"/>
        <v>Y1</v>
      </c>
      <c r="C109" s="5">
        <f t="shared" si="22"/>
        <v>8.0252170991999883</v>
      </c>
      <c r="D109" s="5">
        <f t="shared" si="23"/>
        <v>5.3501447327999916</v>
      </c>
      <c r="E109" s="357"/>
    </row>
    <row r="110" spans="1:12" x14ac:dyDescent="0.3">
      <c r="A110" s="362" t="s">
        <v>67</v>
      </c>
      <c r="B110" s="3" t="str">
        <f t="shared" si="21"/>
        <v>Y1</v>
      </c>
      <c r="C110" s="5">
        <f t="shared" si="22"/>
        <v>11.671206341760033</v>
      </c>
      <c r="D110" s="5">
        <f t="shared" si="23"/>
        <v>7.7808042278400222</v>
      </c>
      <c r="E110" s="357"/>
    </row>
    <row r="111" spans="1:12" x14ac:dyDescent="0.3">
      <c r="A111" s="362" t="s">
        <v>68</v>
      </c>
      <c r="B111" s="3" t="str">
        <f t="shared" si="21"/>
        <v>Y2</v>
      </c>
      <c r="C111" s="5">
        <f t="shared" si="22"/>
        <v>46.936485892799929</v>
      </c>
      <c r="D111" s="5">
        <f t="shared" si="23"/>
        <v>31.290990595199954</v>
      </c>
      <c r="E111" s="357"/>
    </row>
    <row r="112" spans="1:12" x14ac:dyDescent="0.3">
      <c r="A112" s="362" t="s">
        <v>69</v>
      </c>
      <c r="B112" s="3" t="str">
        <f t="shared" si="21"/>
        <v>Y2</v>
      </c>
      <c r="C112" s="5">
        <f t="shared" si="22"/>
        <v>51.396332803199925</v>
      </c>
      <c r="D112" s="5">
        <f t="shared" si="23"/>
        <v>34.26422186879995</v>
      </c>
      <c r="E112" s="357"/>
    </row>
    <row r="113" spans="1:5" x14ac:dyDescent="0.3">
      <c r="A113" s="362" t="s">
        <v>70</v>
      </c>
      <c r="B113" s="3" t="str">
        <f t="shared" si="21"/>
        <v>Y</v>
      </c>
      <c r="C113" s="5">
        <f t="shared" si="22"/>
        <v>70.99050841343994</v>
      </c>
      <c r="D113" s="5">
        <f t="shared" si="23"/>
        <v>47.327005608959958</v>
      </c>
      <c r="E113" s="357"/>
    </row>
    <row r="114" spans="1:5" x14ac:dyDescent="0.3">
      <c r="A114" s="362" t="s">
        <v>71</v>
      </c>
      <c r="B114" s="3" t="str">
        <f t="shared" si="21"/>
        <v>Y</v>
      </c>
      <c r="C114" s="5">
        <f t="shared" si="22"/>
        <v>78.757440995519971</v>
      </c>
      <c r="D114" s="5">
        <f t="shared" si="23"/>
        <v>52.504960663679981</v>
      </c>
      <c r="E114" s="357"/>
    </row>
    <row r="115" spans="1:5" x14ac:dyDescent="0.3">
      <c r="A115" s="362" t="s">
        <v>72</v>
      </c>
      <c r="B115" s="3" t="str">
        <f t="shared" si="21"/>
        <v>Y</v>
      </c>
      <c r="C115" s="5">
        <f t="shared" si="22"/>
        <v>73.218977778239974</v>
      </c>
      <c r="D115" s="5">
        <f t="shared" si="23"/>
        <v>48.812651852159981</v>
      </c>
      <c r="E115" s="357"/>
    </row>
    <row r="116" spans="1:5" x14ac:dyDescent="0.3">
      <c r="A116" s="362" t="s">
        <v>73</v>
      </c>
      <c r="B116" s="3" t="str">
        <f t="shared" si="21"/>
        <v>Y</v>
      </c>
      <c r="C116" s="5">
        <f t="shared" si="22"/>
        <v>87.710158428480014</v>
      </c>
      <c r="D116" s="5">
        <f t="shared" si="23"/>
        <v>58.473438952320016</v>
      </c>
      <c r="E116" s="357"/>
    </row>
    <row r="117" spans="1:5" x14ac:dyDescent="0.3">
      <c r="A117" s="357"/>
      <c r="B117" s="39">
        <f>SUM(COUNTIF(B107:B116,{"Y","Y1","Y2"}))</f>
        <v>8</v>
      </c>
      <c r="C117" s="47">
        <f>-PV($G$6,$G$7-B117,C116)</f>
        <v>835.55991247197016</v>
      </c>
      <c r="D117" s="47">
        <f>-PV($G$6,$G$7-B117,D116)</f>
        <v>557.03994164798019</v>
      </c>
      <c r="E117" s="357" t="s">
        <v>11</v>
      </c>
    </row>
    <row r="118" spans="1:5" ht="15" thickBot="1" x14ac:dyDescent="0.35">
      <c r="A118" s="357"/>
      <c r="B118" s="357"/>
      <c r="C118" s="13">
        <f>NPV($G$6,C107:C115,C116+C117)</f>
        <v>532.33966768966081</v>
      </c>
      <c r="D118" s="13">
        <f>NPV($G$6,D107:D115,D116+D117)</f>
        <v>354.89311179310721</v>
      </c>
      <c r="E118" s="357" t="s">
        <v>23</v>
      </c>
    </row>
    <row r="119" spans="1:5" ht="15" thickTop="1" x14ac:dyDescent="0.3"/>
  </sheetData>
  <mergeCells count="12">
    <mergeCell ref="A105:A106"/>
    <mergeCell ref="A15:I15"/>
    <mergeCell ref="A34:F34"/>
    <mergeCell ref="H34:L34"/>
    <mergeCell ref="A48:F48"/>
    <mergeCell ref="H48:L48"/>
    <mergeCell ref="A62:F62"/>
    <mergeCell ref="H62:L62"/>
    <mergeCell ref="A76:F76"/>
    <mergeCell ref="H76:L76"/>
    <mergeCell ref="A90:F90"/>
    <mergeCell ref="H90:L90"/>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topLeftCell="A4" zoomScale="70" zoomScaleNormal="70" workbookViewId="0">
      <selection activeCell="E112" sqref="E112"/>
    </sheetView>
  </sheetViews>
  <sheetFormatPr defaultRowHeight="14.4" x14ac:dyDescent="0.3"/>
  <cols>
    <col min="1" max="1" width="38.77734375" style="279" customWidth="1"/>
    <col min="2" max="12" width="15.77734375" style="279" customWidth="1"/>
    <col min="13" max="17" width="10.77734375" style="279" customWidth="1"/>
    <col min="18" max="16384" width="8.88671875" style="279"/>
  </cols>
  <sheetData>
    <row r="1" spans="1:18" x14ac:dyDescent="0.3">
      <c r="A1" s="285" t="s">
        <v>97</v>
      </c>
    </row>
    <row r="2" spans="1:18" x14ac:dyDescent="0.3">
      <c r="A2" s="285" t="s">
        <v>98</v>
      </c>
    </row>
    <row r="3" spans="1:18" x14ac:dyDescent="0.3">
      <c r="A3" s="285" t="s">
        <v>99</v>
      </c>
    </row>
    <row r="4" spans="1:18" x14ac:dyDescent="0.3">
      <c r="A4" s="285"/>
    </row>
    <row r="5" spans="1:18" x14ac:dyDescent="0.3">
      <c r="A5" s="68" t="s">
        <v>31</v>
      </c>
      <c r="B5" s="69" t="s">
        <v>33</v>
      </c>
      <c r="C5" s="69" t="s">
        <v>34</v>
      </c>
      <c r="D5" s="69" t="s">
        <v>35</v>
      </c>
      <c r="F5" s="65" t="s">
        <v>3</v>
      </c>
      <c r="G5" s="286">
        <v>61.95</v>
      </c>
    </row>
    <row r="6" spans="1:18" x14ac:dyDescent="0.3">
      <c r="A6" s="291" t="s">
        <v>4</v>
      </c>
      <c r="B6" s="292">
        <v>77.2</v>
      </c>
      <c r="C6" s="292">
        <v>94.7</v>
      </c>
      <c r="D6" s="297"/>
      <c r="F6" s="66" t="s">
        <v>2</v>
      </c>
      <c r="G6" s="287">
        <v>0.1</v>
      </c>
    </row>
    <row r="7" spans="1:18" x14ac:dyDescent="0.3">
      <c r="A7" s="291" t="s">
        <v>36</v>
      </c>
      <c r="B7" s="293">
        <v>0.02</v>
      </c>
      <c r="C7" s="293">
        <v>0.02</v>
      </c>
      <c r="D7" s="31"/>
      <c r="F7" s="66" t="s">
        <v>1</v>
      </c>
      <c r="G7" s="288">
        <v>40</v>
      </c>
    </row>
    <row r="8" spans="1:18" x14ac:dyDescent="0.3">
      <c r="A8" s="291" t="s">
        <v>30</v>
      </c>
      <c r="B8" s="294">
        <f>-PV($G$6,$G$7,B6*B7)</f>
        <v>15.09885430933034</v>
      </c>
      <c r="C8" s="32">
        <f>-PV($G$6,$G$7,C6*C7)</f>
        <v>18.521522060797711</v>
      </c>
      <c r="D8" s="32">
        <f>-PV($G$6,$G$7,D6*D7)</f>
        <v>0</v>
      </c>
      <c r="F8" s="66" t="s">
        <v>6</v>
      </c>
      <c r="G8" s="287">
        <v>0.2</v>
      </c>
    </row>
    <row r="9" spans="1:18" x14ac:dyDescent="0.3">
      <c r="A9" s="291" t="s">
        <v>32</v>
      </c>
      <c r="B9" s="294">
        <f>B6+B8</f>
        <v>92.298854309330338</v>
      </c>
      <c r="C9" s="32">
        <f>C6+C8</f>
        <v>113.22152206079771</v>
      </c>
      <c r="D9" s="32">
        <f>D6+D8</f>
        <v>0</v>
      </c>
      <c r="F9" s="66" t="s">
        <v>7</v>
      </c>
      <c r="G9" s="287">
        <v>0.2</v>
      </c>
    </row>
    <row r="10" spans="1:18" x14ac:dyDescent="0.3">
      <c r="A10" s="291" t="s">
        <v>15</v>
      </c>
      <c r="B10" s="294">
        <f>-PMT($G$6,$G$7,B9)</f>
        <v>9.4384267927893255</v>
      </c>
      <c r="C10" s="32">
        <f>-PMT($G$6,$G$7,C9)</f>
        <v>11.577966545040791</v>
      </c>
      <c r="D10" s="32">
        <f>-PMT($G$6,$G$7,D9)</f>
        <v>0</v>
      </c>
      <c r="F10" s="66" t="s">
        <v>8</v>
      </c>
      <c r="G10" s="287">
        <v>0.2</v>
      </c>
    </row>
    <row r="11" spans="1:18" x14ac:dyDescent="0.3">
      <c r="B11" s="290"/>
      <c r="C11" s="290"/>
      <c r="D11" s="290"/>
      <c r="F11" s="66" t="s">
        <v>9</v>
      </c>
      <c r="G11" s="287">
        <v>0.2</v>
      </c>
    </row>
    <row r="12" spans="1:18" x14ac:dyDescent="0.3">
      <c r="A12" s="283" t="s">
        <v>28</v>
      </c>
      <c r="B12" s="295">
        <f>SUM(B9:D9)</f>
        <v>205.52037637012805</v>
      </c>
      <c r="C12" s="290"/>
      <c r="D12" s="290"/>
      <c r="F12" s="67" t="s">
        <v>10</v>
      </c>
      <c r="G12" s="289">
        <v>0.2</v>
      </c>
    </row>
    <row r="13" spans="1:18" x14ac:dyDescent="0.3">
      <c r="A13" s="284" t="s">
        <v>29</v>
      </c>
      <c r="B13" s="296">
        <f>-PMT($G$6,$G$7,B12)</f>
        <v>21.016393337830117</v>
      </c>
      <c r="C13" s="290"/>
      <c r="D13" s="290"/>
    </row>
    <row r="15" spans="1:18" ht="15.6" x14ac:dyDescent="0.3">
      <c r="A15" s="397" t="s">
        <v>57</v>
      </c>
      <c r="B15" s="397"/>
      <c r="C15" s="397"/>
      <c r="D15" s="397"/>
      <c r="E15" s="397"/>
      <c r="F15" s="397"/>
      <c r="G15" s="397"/>
      <c r="H15" s="397"/>
      <c r="I15" s="397"/>
      <c r="M15" s="380"/>
      <c r="N15" s="380"/>
      <c r="O15" s="380"/>
      <c r="P15" s="380"/>
      <c r="Q15" s="380"/>
      <c r="R15" s="298"/>
    </row>
    <row r="16" spans="1:18" s="290" customFormat="1" ht="57.6" x14ac:dyDescent="0.3">
      <c r="A16" s="40" t="s">
        <v>5</v>
      </c>
      <c r="B16" s="51" t="s">
        <v>151</v>
      </c>
      <c r="C16" s="51" t="s">
        <v>152</v>
      </c>
      <c r="D16" s="51" t="s">
        <v>153</v>
      </c>
      <c r="E16" s="50" t="s">
        <v>25</v>
      </c>
      <c r="F16" s="50" t="s">
        <v>15</v>
      </c>
      <c r="G16" s="51" t="s">
        <v>155</v>
      </c>
      <c r="H16" s="50" t="s">
        <v>12</v>
      </c>
      <c r="I16" s="50" t="s">
        <v>24</v>
      </c>
      <c r="J16" s="35"/>
      <c r="K16" s="35"/>
      <c r="M16" s="36"/>
      <c r="N16" s="37"/>
      <c r="O16" s="37"/>
      <c r="P16" s="37"/>
      <c r="Q16" s="38"/>
      <c r="R16" s="39"/>
    </row>
    <row r="17" spans="1:18" s="290" customFormat="1" x14ac:dyDescent="0.3">
      <c r="A17" s="72" t="s">
        <v>64</v>
      </c>
      <c r="B17" s="40">
        <f>MAX(B36,B50,B64,B78,B92)</f>
        <v>0</v>
      </c>
      <c r="C17" s="40">
        <f>MAX(C36,C50,C64,C78,C92)</f>
        <v>0</v>
      </c>
      <c r="D17" s="40">
        <f t="shared" ref="D17:D26" si="0">$G$8*D36+$G$9*D50+$G$10*D64+$G$11*D78+$G$12*D92</f>
        <v>0</v>
      </c>
      <c r="E17" s="41">
        <f t="shared" ref="E17:E26" si="1">D17*$G$5/1000</f>
        <v>0</v>
      </c>
      <c r="F17" s="41">
        <f>IF($H17="Y1",$B$10,IF($H17="Y2",$B$10+$C$10,IF($H17="Y",$B$13,IF($H17="N",0))))</f>
        <v>0</v>
      </c>
      <c r="G17" s="41">
        <f>E17-F17</f>
        <v>0</v>
      </c>
      <c r="H17" s="42" t="s">
        <v>14</v>
      </c>
      <c r="I17" s="41">
        <f>IF(OR(H17="Y",H17="Y1",H17="Y2"),E17,0)</f>
        <v>0</v>
      </c>
      <c r="J17" s="43"/>
      <c r="K17" s="43"/>
      <c r="M17" s="44"/>
      <c r="N17" s="45"/>
      <c r="O17" s="45"/>
      <c r="P17" s="45"/>
      <c r="Q17" s="33"/>
      <c r="R17" s="39"/>
    </row>
    <row r="18" spans="1:18" s="290" customFormat="1" x14ac:dyDescent="0.3">
      <c r="A18" s="72" t="s">
        <v>65</v>
      </c>
      <c r="B18" s="40">
        <f t="shared" ref="B18:C26" si="2">MAX(B37,B51,B65,B79,B93)</f>
        <v>0</v>
      </c>
      <c r="C18" s="40">
        <f t="shared" si="2"/>
        <v>0</v>
      </c>
      <c r="D18" s="40">
        <f t="shared" si="0"/>
        <v>0</v>
      </c>
      <c r="E18" s="41">
        <f t="shared" si="1"/>
        <v>0</v>
      </c>
      <c r="F18" s="41">
        <f t="shared" ref="F18:F26" si="3">IF($H18="Y1",$B$10,IF($H18="Y2",$B$10+$C$10,IF($H18="Y",$B$13,IF($H18="N",0))))</f>
        <v>0</v>
      </c>
      <c r="G18" s="41">
        <f t="shared" ref="G18:G26" si="4">E18-F18</f>
        <v>0</v>
      </c>
      <c r="H18" s="42" t="s">
        <v>14</v>
      </c>
      <c r="I18" s="41">
        <f t="shared" ref="I18:I26" si="5">IF(OR(H18="Y",H18="Y1",H18="Y2"),E18,0)</f>
        <v>0</v>
      </c>
      <c r="J18" s="43"/>
      <c r="K18" s="43"/>
      <c r="M18" s="44"/>
      <c r="N18" s="45"/>
      <c r="O18" s="45"/>
      <c r="P18" s="45"/>
      <c r="Q18" s="33"/>
      <c r="R18" s="39"/>
    </row>
    <row r="19" spans="1:18" s="290" customFormat="1" x14ac:dyDescent="0.3">
      <c r="A19" s="72" t="s">
        <v>66</v>
      </c>
      <c r="B19" s="40">
        <f t="shared" si="2"/>
        <v>0</v>
      </c>
      <c r="C19" s="40">
        <f t="shared" si="2"/>
        <v>0</v>
      </c>
      <c r="D19" s="40">
        <f t="shared" si="0"/>
        <v>0</v>
      </c>
      <c r="E19" s="41">
        <f t="shared" si="1"/>
        <v>0</v>
      </c>
      <c r="F19" s="41">
        <f t="shared" si="3"/>
        <v>0</v>
      </c>
      <c r="G19" s="41">
        <f t="shared" si="4"/>
        <v>0</v>
      </c>
      <c r="H19" s="42" t="s">
        <v>14</v>
      </c>
      <c r="I19" s="41">
        <f t="shared" si="5"/>
        <v>0</v>
      </c>
      <c r="J19" s="43"/>
      <c r="K19" s="43"/>
      <c r="M19" s="44"/>
      <c r="N19" s="45"/>
      <c r="O19" s="45"/>
      <c r="P19" s="45"/>
      <c r="Q19" s="33"/>
      <c r="R19" s="39"/>
    </row>
    <row r="20" spans="1:18" s="290" customFormat="1" x14ac:dyDescent="0.3">
      <c r="A20" s="72" t="s">
        <v>67</v>
      </c>
      <c r="B20" s="40">
        <f t="shared" si="2"/>
        <v>0</v>
      </c>
      <c r="C20" s="40">
        <f t="shared" si="2"/>
        <v>0</v>
      </c>
      <c r="D20" s="40">
        <f t="shared" si="0"/>
        <v>0</v>
      </c>
      <c r="E20" s="41">
        <f t="shared" si="1"/>
        <v>0</v>
      </c>
      <c r="F20" s="41">
        <f t="shared" si="3"/>
        <v>0</v>
      </c>
      <c r="G20" s="41">
        <f t="shared" si="4"/>
        <v>0</v>
      </c>
      <c r="H20" s="42" t="s">
        <v>14</v>
      </c>
      <c r="I20" s="41">
        <f t="shared" si="5"/>
        <v>0</v>
      </c>
      <c r="J20" s="43"/>
      <c r="K20" s="43"/>
      <c r="M20" s="44"/>
      <c r="N20" s="45"/>
      <c r="O20" s="45"/>
      <c r="P20" s="45"/>
      <c r="Q20" s="33"/>
      <c r="R20" s="39"/>
    </row>
    <row r="21" spans="1:18" s="290" customFormat="1" x14ac:dyDescent="0.3">
      <c r="A21" s="72" t="s">
        <v>68</v>
      </c>
      <c r="B21" s="40">
        <f t="shared" si="2"/>
        <v>0</v>
      </c>
      <c r="C21" s="40">
        <f t="shared" si="2"/>
        <v>0</v>
      </c>
      <c r="D21" s="40">
        <f t="shared" si="0"/>
        <v>0</v>
      </c>
      <c r="E21" s="41">
        <f t="shared" si="1"/>
        <v>0</v>
      </c>
      <c r="F21" s="41">
        <f t="shared" si="3"/>
        <v>0</v>
      </c>
      <c r="G21" s="41">
        <f t="shared" si="4"/>
        <v>0</v>
      </c>
      <c r="H21" s="42" t="s">
        <v>14</v>
      </c>
      <c r="I21" s="41">
        <f t="shared" si="5"/>
        <v>0</v>
      </c>
      <c r="J21" s="43"/>
      <c r="K21" s="43"/>
      <c r="M21" s="44"/>
      <c r="N21" s="45"/>
      <c r="O21" s="45"/>
      <c r="P21" s="45"/>
      <c r="Q21" s="33"/>
      <c r="R21" s="39"/>
    </row>
    <row r="22" spans="1:18" s="290" customFormat="1" x14ac:dyDescent="0.3">
      <c r="A22" s="72" t="s">
        <v>69</v>
      </c>
      <c r="B22" s="40">
        <f t="shared" si="2"/>
        <v>0</v>
      </c>
      <c r="C22" s="40">
        <f t="shared" si="2"/>
        <v>0</v>
      </c>
      <c r="D22" s="40">
        <f t="shared" si="0"/>
        <v>0</v>
      </c>
      <c r="E22" s="41">
        <f t="shared" si="1"/>
        <v>0</v>
      </c>
      <c r="F22" s="41">
        <f t="shared" si="3"/>
        <v>0</v>
      </c>
      <c r="G22" s="41">
        <f t="shared" si="4"/>
        <v>0</v>
      </c>
      <c r="H22" s="42" t="s">
        <v>14</v>
      </c>
      <c r="I22" s="41">
        <f t="shared" si="5"/>
        <v>0</v>
      </c>
      <c r="J22" s="43"/>
      <c r="K22" s="43"/>
      <c r="M22" s="44"/>
      <c r="N22" s="45"/>
      <c r="O22" s="45"/>
      <c r="P22" s="45"/>
      <c r="Q22" s="33"/>
      <c r="R22" s="39"/>
    </row>
    <row r="23" spans="1:18" s="290" customFormat="1" x14ac:dyDescent="0.3">
      <c r="A23" s="72" t="s">
        <v>70</v>
      </c>
      <c r="B23" s="40">
        <f t="shared" si="2"/>
        <v>288.83000000000015</v>
      </c>
      <c r="C23" s="40">
        <f t="shared" si="2"/>
        <v>2376.3399999999965</v>
      </c>
      <c r="D23" s="40">
        <f t="shared" si="0"/>
        <v>954.64969599999972</v>
      </c>
      <c r="E23" s="41">
        <f t="shared" si="1"/>
        <v>59.14054866719998</v>
      </c>
      <c r="F23" s="41">
        <f t="shared" si="3"/>
        <v>21.016393337830117</v>
      </c>
      <c r="G23" s="41">
        <f t="shared" si="4"/>
        <v>38.124155329369863</v>
      </c>
      <c r="H23" s="46" t="s">
        <v>13</v>
      </c>
      <c r="I23" s="41">
        <f t="shared" si="5"/>
        <v>59.14054866719998</v>
      </c>
      <c r="J23" s="43"/>
      <c r="K23" s="43"/>
      <c r="M23" s="44"/>
      <c r="N23" s="45"/>
      <c r="O23" s="45"/>
      <c r="P23" s="45"/>
      <c r="Q23" s="33"/>
      <c r="R23" s="39"/>
    </row>
    <row r="24" spans="1:18" s="290" customFormat="1" x14ac:dyDescent="0.3">
      <c r="A24" s="72" t="s">
        <v>71</v>
      </c>
      <c r="B24" s="40">
        <f t="shared" si="2"/>
        <v>345.15</v>
      </c>
      <c r="C24" s="40">
        <f t="shared" si="2"/>
        <v>2890.9099999999962</v>
      </c>
      <c r="D24" s="40">
        <f t="shared" si="0"/>
        <v>1059.062048</v>
      </c>
      <c r="E24" s="41">
        <f t="shared" si="1"/>
        <v>65.608893873599996</v>
      </c>
      <c r="F24" s="41">
        <f t="shared" si="3"/>
        <v>21.016393337830117</v>
      </c>
      <c r="G24" s="41">
        <f t="shared" si="4"/>
        <v>44.592500535769879</v>
      </c>
      <c r="H24" s="46" t="s">
        <v>13</v>
      </c>
      <c r="I24" s="41">
        <f t="shared" si="5"/>
        <v>65.608893873599996</v>
      </c>
      <c r="J24" s="43"/>
      <c r="K24" s="43"/>
      <c r="M24" s="44"/>
      <c r="N24" s="45"/>
      <c r="O24" s="45"/>
      <c r="P24" s="45"/>
      <c r="Q24" s="33"/>
      <c r="R24" s="39"/>
    </row>
    <row r="25" spans="1:18" s="290" customFormat="1" x14ac:dyDescent="0.3">
      <c r="A25" s="72" t="s">
        <v>72</v>
      </c>
      <c r="B25" s="40">
        <f t="shared" si="2"/>
        <v>288.49</v>
      </c>
      <c r="C25" s="40">
        <f t="shared" si="2"/>
        <v>3266.0500000000047</v>
      </c>
      <c r="D25" s="40">
        <f t="shared" si="0"/>
        <v>973.31073600000013</v>
      </c>
      <c r="E25" s="41">
        <f t="shared" si="1"/>
        <v>60.296600095200013</v>
      </c>
      <c r="F25" s="41">
        <f t="shared" si="3"/>
        <v>21.016393337830117</v>
      </c>
      <c r="G25" s="41">
        <f t="shared" si="4"/>
        <v>39.280206757369896</v>
      </c>
      <c r="H25" s="46" t="s">
        <v>13</v>
      </c>
      <c r="I25" s="41">
        <f t="shared" si="5"/>
        <v>60.296600095200013</v>
      </c>
      <c r="J25" s="43"/>
      <c r="K25" s="43"/>
      <c r="M25" s="44"/>
      <c r="N25" s="45"/>
      <c r="O25" s="45"/>
      <c r="P25" s="45"/>
      <c r="Q25" s="33"/>
      <c r="R25" s="39"/>
    </row>
    <row r="26" spans="1:18" s="290" customFormat="1" x14ac:dyDescent="0.3">
      <c r="A26" s="72" t="s">
        <v>73</v>
      </c>
      <c r="B26" s="40">
        <f t="shared" si="2"/>
        <v>303.24000000000012</v>
      </c>
      <c r="C26" s="40">
        <f t="shared" si="2"/>
        <v>4332.690000000006</v>
      </c>
      <c r="D26" s="40">
        <f t="shared" si="0"/>
        <v>1165.0574720000022</v>
      </c>
      <c r="E26" s="41">
        <f t="shared" si="1"/>
        <v>72.175310390400142</v>
      </c>
      <c r="F26" s="41">
        <f t="shared" si="3"/>
        <v>21.016393337830117</v>
      </c>
      <c r="G26" s="41">
        <f t="shared" si="4"/>
        <v>51.158917052570025</v>
      </c>
      <c r="H26" s="46" t="s">
        <v>13</v>
      </c>
      <c r="I26" s="41">
        <f t="shared" si="5"/>
        <v>72.175310390400142</v>
      </c>
      <c r="J26" s="43"/>
      <c r="K26" s="43"/>
      <c r="M26" s="44"/>
      <c r="N26" s="45"/>
      <c r="O26" s="45"/>
      <c r="P26" s="45"/>
      <c r="Q26" s="33"/>
      <c r="R26" s="39"/>
    </row>
    <row r="27" spans="1:18" s="290" customFormat="1" x14ac:dyDescent="0.3">
      <c r="G27" s="57"/>
      <c r="H27" s="39">
        <f>SUM(COUNTIF(H17:H26,{"Y","Y1","Y2"}))</f>
        <v>4</v>
      </c>
      <c r="I27" s="47">
        <f>-PV($G$6,$G$7-H27,I26)</f>
        <v>698.40497972122364</v>
      </c>
      <c r="J27" s="56" t="s">
        <v>11</v>
      </c>
      <c r="K27" s="47"/>
      <c r="L27" s="39"/>
      <c r="M27" s="39"/>
      <c r="Q27" s="45"/>
    </row>
    <row r="28" spans="1:18" s="351" customFormat="1" ht="15" thickBot="1" x14ac:dyDescent="0.35">
      <c r="G28" s="57"/>
      <c r="H28" s="39"/>
      <c r="I28" s="61">
        <f>NPV($G$6,I17:I25,I26+I27)</f>
        <v>383.61919018015385</v>
      </c>
      <c r="J28" s="56" t="s">
        <v>23</v>
      </c>
      <c r="K28" s="47"/>
      <c r="L28" s="39"/>
      <c r="M28" s="39"/>
      <c r="Q28" s="45"/>
    </row>
    <row r="29" spans="1:18" s="290" customFormat="1" ht="15" thickTop="1" x14ac:dyDescent="0.3">
      <c r="I29" s="47"/>
      <c r="J29" s="39"/>
      <c r="K29" s="47"/>
      <c r="L29" s="39"/>
      <c r="M29" s="39"/>
    </row>
    <row r="30" spans="1:18" s="290" customFormat="1" ht="43.2" x14ac:dyDescent="0.3">
      <c r="A30" s="34"/>
      <c r="B30" s="63" t="s">
        <v>16</v>
      </c>
      <c r="C30" s="63" t="s">
        <v>17</v>
      </c>
      <c r="D30" s="63" t="s">
        <v>18</v>
      </c>
      <c r="E30" s="63" t="s">
        <v>19</v>
      </c>
      <c r="F30" s="63" t="s">
        <v>20</v>
      </c>
      <c r="G30" s="63" t="s">
        <v>21</v>
      </c>
      <c r="H30" s="64" t="s">
        <v>28</v>
      </c>
      <c r="I30" s="64" t="s">
        <v>37</v>
      </c>
      <c r="K30" s="39"/>
      <c r="L30" s="39"/>
      <c r="M30" s="39"/>
    </row>
    <row r="31" spans="1:18" s="290" customFormat="1" x14ac:dyDescent="0.3">
      <c r="A31" s="282" t="s">
        <v>22</v>
      </c>
      <c r="B31" s="48">
        <f>NPV($G$6,F36:F44,F45+F46)/1000</f>
        <v>271.12835970045495</v>
      </c>
      <c r="C31" s="48">
        <f>NPV($G$6,F50:F58,F59+F60)/1000</f>
        <v>754.91981361569276</v>
      </c>
      <c r="D31" s="48">
        <f>NPV($G$6,F64:F72,F73+F74)/1000</f>
        <v>236.07978543453035</v>
      </c>
      <c r="E31" s="48">
        <f>NPV($G$6,F78:F86,F87+F88)/1000</f>
        <v>526.04941452425533</v>
      </c>
      <c r="F31" s="48">
        <f>NPV($G$6,F92:F100,F101+F102)/1000</f>
        <v>129.91857762583609</v>
      </c>
      <c r="G31" s="49">
        <f>B31*G8+C31*G9+D31*G10+E31*G11+F31*G12</f>
        <v>383.61919018015385</v>
      </c>
      <c r="H31" s="294">
        <f>B12</f>
        <v>205.52037637012805</v>
      </c>
      <c r="I31" s="48">
        <f>G31-H31</f>
        <v>178.0988138100258</v>
      </c>
    </row>
    <row r="32" spans="1:18" s="290" customFormat="1" x14ac:dyDescent="0.3">
      <c r="I32" s="299"/>
    </row>
    <row r="33" spans="1:14" s="290" customFormat="1" x14ac:dyDescent="0.3"/>
    <row r="34" spans="1:14" s="290" customFormat="1" ht="15.6" x14ac:dyDescent="0.3">
      <c r="A34" s="409" t="s">
        <v>52</v>
      </c>
      <c r="B34" s="410"/>
      <c r="C34" s="410"/>
      <c r="D34" s="410"/>
      <c r="E34" s="410"/>
      <c r="F34" s="411"/>
      <c r="H34" s="406" t="s">
        <v>59</v>
      </c>
      <c r="I34" s="406"/>
      <c r="J34" s="406"/>
      <c r="K34" s="406"/>
      <c r="L34" s="406"/>
    </row>
    <row r="35" spans="1:14" s="290" customFormat="1" ht="57.6" x14ac:dyDescent="0.3">
      <c r="A35" s="280" t="s">
        <v>5</v>
      </c>
      <c r="B35" s="51" t="s">
        <v>151</v>
      </c>
      <c r="C35" s="51" t="s">
        <v>152</v>
      </c>
      <c r="D35" s="51" t="s">
        <v>153</v>
      </c>
      <c r="E35" s="51" t="s">
        <v>12</v>
      </c>
      <c r="F35" s="51" t="s">
        <v>134</v>
      </c>
      <c r="H35" s="280" t="s">
        <v>5</v>
      </c>
      <c r="I35" s="51" t="s">
        <v>75</v>
      </c>
      <c r="J35" s="51" t="s">
        <v>51</v>
      </c>
      <c r="K35" s="50" t="s">
        <v>0</v>
      </c>
      <c r="L35" s="51" t="s">
        <v>58</v>
      </c>
    </row>
    <row r="36" spans="1:14" s="290" customFormat="1" x14ac:dyDescent="0.3">
      <c r="A36" s="72" t="s">
        <v>64</v>
      </c>
      <c r="B36" s="40">
        <f>IF($E36="N",0,Base!B32-Option5!I36)</f>
        <v>0</v>
      </c>
      <c r="C36" s="385">
        <f>IF($E36="N",0,Base!C32-Option5!J36)</f>
        <v>0</v>
      </c>
      <c r="D36" s="385">
        <f>IF($E36="N",0,Base!D32-Option5!K36)</f>
        <v>0</v>
      </c>
      <c r="E36" s="281" t="str">
        <f t="shared" ref="E36:E45" si="6">H17</f>
        <v>N</v>
      </c>
      <c r="F36" s="52">
        <f>IF(OR(E36="Y",E36="Y1",E36="Y2"),D36*$G$5,0)</f>
        <v>0</v>
      </c>
      <c r="H36" s="72" t="s">
        <v>64</v>
      </c>
      <c r="I36" s="40">
        <v>553.72</v>
      </c>
      <c r="J36" s="40">
        <v>8765.2800000000025</v>
      </c>
      <c r="K36" s="40">
        <v>7322.0056800000002</v>
      </c>
      <c r="L36" s="40">
        <f t="shared" ref="L36:L45" si="7">K36*$G$5</f>
        <v>453598.25187600002</v>
      </c>
      <c r="N36" s="53"/>
    </row>
    <row r="37" spans="1:14" s="290" customFormat="1" x14ac:dyDescent="0.3">
      <c r="A37" s="72" t="s">
        <v>65</v>
      </c>
      <c r="B37" s="385">
        <f>IF($E37="N",0,Base!B33-Option5!I37)</f>
        <v>0</v>
      </c>
      <c r="C37" s="385">
        <f>IF($E37="N",0,Base!C33-Option5!J37)</f>
        <v>0</v>
      </c>
      <c r="D37" s="385">
        <f>IF($E37="N",0,Base!D33-Option5!K37)</f>
        <v>0</v>
      </c>
      <c r="E37" s="281" t="str">
        <f t="shared" si="6"/>
        <v>N</v>
      </c>
      <c r="F37" s="52">
        <f t="shared" ref="F37:F45" si="8">IF(OR(E37="Y",E37="Y1",E37="Y2"),D37*$G$5,0)</f>
        <v>0</v>
      </c>
      <c r="H37" s="72" t="s">
        <v>65</v>
      </c>
      <c r="I37" s="40">
        <v>599.86</v>
      </c>
      <c r="J37" s="40">
        <v>8926.7100000000009</v>
      </c>
      <c r="K37" s="40">
        <v>7322.3812799999996</v>
      </c>
      <c r="L37" s="40">
        <f t="shared" si="7"/>
        <v>453621.520296</v>
      </c>
    </row>
    <row r="38" spans="1:14" s="290" customFormat="1" x14ac:dyDescent="0.3">
      <c r="A38" s="72" t="s">
        <v>66</v>
      </c>
      <c r="B38" s="385">
        <f>IF($E38="N",0,Base!B34-Option5!I38)</f>
        <v>0</v>
      </c>
      <c r="C38" s="385">
        <f>IF($E38="N",0,Base!C34-Option5!J38)</f>
        <v>0</v>
      </c>
      <c r="D38" s="385">
        <f>IF($E38="N",0,Base!D34-Option5!K38)</f>
        <v>0</v>
      </c>
      <c r="E38" s="281" t="str">
        <f t="shared" si="6"/>
        <v>N</v>
      </c>
      <c r="F38" s="52">
        <f t="shared" si="8"/>
        <v>0</v>
      </c>
      <c r="H38" s="72" t="s">
        <v>66</v>
      </c>
      <c r="I38" s="40">
        <v>662.27</v>
      </c>
      <c r="J38" s="40">
        <v>9318.4700000000012</v>
      </c>
      <c r="K38" s="40">
        <v>7559.0794399999995</v>
      </c>
      <c r="L38" s="40">
        <f t="shared" si="7"/>
        <v>468284.97130799998</v>
      </c>
    </row>
    <row r="39" spans="1:14" s="290" customFormat="1" x14ac:dyDescent="0.3">
      <c r="A39" s="72" t="s">
        <v>67</v>
      </c>
      <c r="B39" s="385">
        <f>IF($E39="N",0,Base!B35-Option5!I39)</f>
        <v>0</v>
      </c>
      <c r="C39" s="385">
        <f>IF($E39="N",0,Base!C35-Option5!J39)</f>
        <v>0</v>
      </c>
      <c r="D39" s="385">
        <f>IF($E39="N",0,Base!D35-Option5!K39)</f>
        <v>0</v>
      </c>
      <c r="E39" s="281" t="str">
        <f t="shared" si="6"/>
        <v>N</v>
      </c>
      <c r="F39" s="52">
        <f t="shared" si="8"/>
        <v>0</v>
      </c>
      <c r="H39" s="72" t="s">
        <v>67</v>
      </c>
      <c r="I39" s="40">
        <v>699.54</v>
      </c>
      <c r="J39" s="40">
        <v>9463.1899999999987</v>
      </c>
      <c r="K39" s="40">
        <v>7580.3429599999999</v>
      </c>
      <c r="L39" s="40">
        <f t="shared" si="7"/>
        <v>469602.24637200002</v>
      </c>
    </row>
    <row r="40" spans="1:14" s="290" customFormat="1" x14ac:dyDescent="0.3">
      <c r="A40" s="72" t="s">
        <v>68</v>
      </c>
      <c r="B40" s="385">
        <f>IF($E40="N",0,Base!B36-Option5!I40)</f>
        <v>0</v>
      </c>
      <c r="C40" s="385">
        <f>IF($E40="N",0,Base!C36-Option5!J40)</f>
        <v>0</v>
      </c>
      <c r="D40" s="385">
        <f>IF($E40="N",0,Base!D36-Option5!K40)</f>
        <v>0</v>
      </c>
      <c r="E40" s="281" t="str">
        <f t="shared" si="6"/>
        <v>N</v>
      </c>
      <c r="F40" s="52">
        <f t="shared" si="8"/>
        <v>0</v>
      </c>
      <c r="H40" s="72" t="s">
        <v>68</v>
      </c>
      <c r="I40" s="40">
        <v>799.35</v>
      </c>
      <c r="J40" s="40">
        <v>9827.66</v>
      </c>
      <c r="K40" s="40">
        <v>7703.1339200000002</v>
      </c>
      <c r="L40" s="40">
        <f t="shared" si="7"/>
        <v>477209.14634400001</v>
      </c>
    </row>
    <row r="41" spans="1:14" s="290" customFormat="1" x14ac:dyDescent="0.3">
      <c r="A41" s="72" t="s">
        <v>69</v>
      </c>
      <c r="B41" s="385">
        <f>IF($E41="N",0,Base!B37-Option5!I41)</f>
        <v>0</v>
      </c>
      <c r="C41" s="385">
        <f>IF($E41="N",0,Base!C37-Option5!J41)</f>
        <v>0</v>
      </c>
      <c r="D41" s="385">
        <f>IF($E41="N",0,Base!D37-Option5!K41)</f>
        <v>0</v>
      </c>
      <c r="E41" s="281" t="str">
        <f t="shared" si="6"/>
        <v>N</v>
      </c>
      <c r="F41" s="52">
        <f t="shared" si="8"/>
        <v>0</v>
      </c>
      <c r="H41" s="72" t="s">
        <v>69</v>
      </c>
      <c r="I41" s="40">
        <v>923.21</v>
      </c>
      <c r="J41" s="40">
        <v>10637.19</v>
      </c>
      <c r="K41" s="40">
        <v>8130.4903200000008</v>
      </c>
      <c r="L41" s="40">
        <f t="shared" si="7"/>
        <v>503683.87532400008</v>
      </c>
    </row>
    <row r="42" spans="1:14" s="290" customFormat="1" x14ac:dyDescent="0.3">
      <c r="A42" s="72" t="s">
        <v>70</v>
      </c>
      <c r="B42" s="385">
        <f>IF($E42="N",0,Base!B38-Option5!I42)</f>
        <v>152.21000000000004</v>
      </c>
      <c r="C42" s="385">
        <f>IF($E42="N",0,Base!C38-Option5!J42)</f>
        <v>1258.9999999999982</v>
      </c>
      <c r="D42" s="385">
        <f>IF($E42="N",0,Base!D38-Option5!K42)</f>
        <v>861.77192000000105</v>
      </c>
      <c r="E42" s="281" t="str">
        <f t="shared" si="6"/>
        <v>Y</v>
      </c>
      <c r="F42" s="52">
        <f t="shared" si="8"/>
        <v>53386.770444000067</v>
      </c>
      <c r="H42" s="72" t="s">
        <v>70</v>
      </c>
      <c r="I42" s="40">
        <v>1064.1399999999999</v>
      </c>
      <c r="J42" s="40">
        <v>11850.230000000001</v>
      </c>
      <c r="K42" s="40">
        <v>8608.6795999999995</v>
      </c>
      <c r="L42" s="40">
        <f t="shared" si="7"/>
        <v>533307.70122000005</v>
      </c>
    </row>
    <row r="43" spans="1:14" s="290" customFormat="1" x14ac:dyDescent="0.3">
      <c r="A43" s="72" t="s">
        <v>71</v>
      </c>
      <c r="B43" s="385">
        <f>IF($E43="N",0,Base!B39-Option5!I43)</f>
        <v>-9.3299999999999272</v>
      </c>
      <c r="C43" s="385">
        <f>IF($E43="N",0,Base!C39-Option5!J43)</f>
        <v>1395.8699999999972</v>
      </c>
      <c r="D43" s="385">
        <f>IF($E43="N",0,Base!D39-Option5!K43)</f>
        <v>959.20655999999872</v>
      </c>
      <c r="E43" s="281" t="str">
        <f t="shared" si="6"/>
        <v>Y</v>
      </c>
      <c r="F43" s="52">
        <f t="shared" si="8"/>
        <v>59422.846391999927</v>
      </c>
      <c r="H43" s="72" t="s">
        <v>71</v>
      </c>
      <c r="I43" s="40">
        <v>1281.54</v>
      </c>
      <c r="J43" s="40">
        <v>13076.54</v>
      </c>
      <c r="K43" s="40">
        <v>9045.614239999999</v>
      </c>
      <c r="L43" s="40">
        <f t="shared" si="7"/>
        <v>560375.80216799991</v>
      </c>
    </row>
    <row r="44" spans="1:14" s="290" customFormat="1" x14ac:dyDescent="0.3">
      <c r="A44" s="72" t="s">
        <v>72</v>
      </c>
      <c r="B44" s="385">
        <f>IF($E44="N",0,Base!B40-Option5!I44)</f>
        <v>288.34000000000003</v>
      </c>
      <c r="C44" s="385">
        <f>IF($E44="N",0,Base!C40-Option5!J44)</f>
        <v>1199.1399999999994</v>
      </c>
      <c r="D44" s="385">
        <f>IF($E44="N",0,Base!D40-Option5!K44)</f>
        <v>768.59440000000177</v>
      </c>
      <c r="E44" s="281" t="str">
        <f t="shared" si="6"/>
        <v>Y</v>
      </c>
      <c r="F44" s="52">
        <f t="shared" si="8"/>
        <v>47614.42308000011</v>
      </c>
      <c r="H44" s="72" t="s">
        <v>72</v>
      </c>
      <c r="I44" s="40">
        <v>1020.59</v>
      </c>
      <c r="J44" s="40">
        <v>14402.13</v>
      </c>
      <c r="K44" s="40">
        <v>9496.784639999998</v>
      </c>
      <c r="L44" s="40">
        <f t="shared" si="7"/>
        <v>588325.80844799988</v>
      </c>
    </row>
    <row r="45" spans="1:14" s="290" customFormat="1" x14ac:dyDescent="0.3">
      <c r="A45" s="72" t="s">
        <v>73</v>
      </c>
      <c r="B45" s="385">
        <f>IF($E45="N",0,Base!B41-Option5!I45)</f>
        <v>109.25999999999999</v>
      </c>
      <c r="C45" s="385">
        <f>IF($E45="N",0,Base!C41-Option5!J45)</f>
        <v>1047.5400000000081</v>
      </c>
      <c r="D45" s="385">
        <f>IF($E45="N",0,Base!D41-Option5!K45)</f>
        <v>767.9080800000047</v>
      </c>
      <c r="E45" s="281" t="str">
        <f t="shared" si="6"/>
        <v>Y</v>
      </c>
      <c r="F45" s="52">
        <f t="shared" si="8"/>
        <v>47571.905556000296</v>
      </c>
      <c r="H45" s="72" t="s">
        <v>73</v>
      </c>
      <c r="I45" s="40">
        <v>1324.0199999999998</v>
      </c>
      <c r="J45" s="40">
        <v>17015.979999999992</v>
      </c>
      <c r="K45" s="40">
        <v>10529.002479999996</v>
      </c>
      <c r="L45" s="40">
        <f t="shared" si="7"/>
        <v>652271.7036359997</v>
      </c>
    </row>
    <row r="46" spans="1:14" s="290" customFormat="1" ht="15" thickBot="1" x14ac:dyDescent="0.35">
      <c r="E46" s="60">
        <f>SUM(COUNTIF(E36:E45,{"Y","Y1","Y2"}))</f>
        <v>4</v>
      </c>
      <c r="F46" s="62">
        <f>-PV($G$6,$G$7-E46,F45)</f>
        <v>460329.93215305184</v>
      </c>
      <c r="G46" s="55" t="s">
        <v>11</v>
      </c>
    </row>
    <row r="47" spans="1:14" s="290" customFormat="1" ht="15" thickTop="1" x14ac:dyDescent="0.3"/>
    <row r="48" spans="1:14" s="290" customFormat="1" ht="15.6" x14ac:dyDescent="0.3">
      <c r="A48" s="409" t="s">
        <v>56</v>
      </c>
      <c r="B48" s="410"/>
      <c r="C48" s="410"/>
      <c r="D48" s="410"/>
      <c r="E48" s="410"/>
      <c r="F48" s="411"/>
      <c r="H48" s="406" t="s">
        <v>60</v>
      </c>
      <c r="I48" s="406"/>
      <c r="J48" s="406"/>
      <c r="K48" s="406"/>
      <c r="L48" s="406"/>
    </row>
    <row r="49" spans="1:12" s="290" customFormat="1" ht="57.6" x14ac:dyDescent="0.3">
      <c r="A49" s="280" t="s">
        <v>5</v>
      </c>
      <c r="B49" s="51" t="s">
        <v>151</v>
      </c>
      <c r="C49" s="51" t="s">
        <v>152</v>
      </c>
      <c r="D49" s="51" t="s">
        <v>153</v>
      </c>
      <c r="E49" s="51" t="s">
        <v>12</v>
      </c>
      <c r="F49" s="51" t="s">
        <v>134</v>
      </c>
      <c r="H49" s="280" t="s">
        <v>5</v>
      </c>
      <c r="I49" s="51" t="s">
        <v>75</v>
      </c>
      <c r="J49" s="51" t="s">
        <v>51</v>
      </c>
      <c r="K49" s="50" t="s">
        <v>0</v>
      </c>
      <c r="L49" s="51" t="s">
        <v>58</v>
      </c>
    </row>
    <row r="50" spans="1:12" s="290" customFormat="1" x14ac:dyDescent="0.3">
      <c r="A50" s="72" t="s">
        <v>64</v>
      </c>
      <c r="B50" s="385">
        <f>IF($E50="N",0,Base!B46-Option5!I50)</f>
        <v>0</v>
      </c>
      <c r="C50" s="385">
        <f>IF($E50="N",0,Base!C46-Option5!J50)</f>
        <v>0</v>
      </c>
      <c r="D50" s="385">
        <f>IF($E50="N",0,Base!D46-Option5!K50)</f>
        <v>0</v>
      </c>
      <c r="E50" s="281" t="str">
        <f>E36</f>
        <v>N</v>
      </c>
      <c r="F50" s="52">
        <f>IF(OR(E50="Y",E50="Y1",E50="Y2"),D50*$G$5,0)</f>
        <v>0</v>
      </c>
      <c r="H50" s="72" t="s">
        <v>64</v>
      </c>
      <c r="I50" s="40">
        <v>553.72</v>
      </c>
      <c r="J50" s="40">
        <v>8765.2800000000025</v>
      </c>
      <c r="K50" s="40">
        <v>7322.0056800000002</v>
      </c>
      <c r="L50" s="40">
        <f t="shared" ref="L50:L59" si="9">K50*$G$5</f>
        <v>453598.25187600002</v>
      </c>
    </row>
    <row r="51" spans="1:12" s="290" customFormat="1" x14ac:dyDescent="0.3">
      <c r="A51" s="72" t="s">
        <v>65</v>
      </c>
      <c r="B51" s="385">
        <f>IF($E51="N",0,Base!B47-Option5!I51)</f>
        <v>0</v>
      </c>
      <c r="C51" s="385">
        <f>IF($E51="N",0,Base!C47-Option5!J51)</f>
        <v>0</v>
      </c>
      <c r="D51" s="385">
        <f>IF($E51="N",0,Base!D47-Option5!K51)</f>
        <v>0</v>
      </c>
      <c r="E51" s="281" t="str">
        <f t="shared" ref="E51:E59" si="10">E37</f>
        <v>N</v>
      </c>
      <c r="F51" s="52">
        <f t="shared" ref="F51:F59" si="11">IF(OR(E51="Y",E51="Y1",E51="Y2"),D51*$G$5,0)</f>
        <v>0</v>
      </c>
      <c r="H51" s="72" t="s">
        <v>65</v>
      </c>
      <c r="I51" s="40">
        <v>601.11</v>
      </c>
      <c r="J51" s="40">
        <v>8929.8100000000013</v>
      </c>
      <c r="K51" s="40">
        <v>7326.5391999999993</v>
      </c>
      <c r="L51" s="40">
        <f t="shared" si="9"/>
        <v>453879.10343999998</v>
      </c>
    </row>
    <row r="52" spans="1:12" s="290" customFormat="1" x14ac:dyDescent="0.3">
      <c r="A52" s="72" t="s">
        <v>66</v>
      </c>
      <c r="B52" s="385">
        <f>IF($E52="N",0,Base!B48-Option5!I52)</f>
        <v>0</v>
      </c>
      <c r="C52" s="385">
        <f>IF($E52="N",0,Base!C48-Option5!J52)</f>
        <v>0</v>
      </c>
      <c r="D52" s="385">
        <f>IF($E52="N",0,Base!D48-Option5!K52)</f>
        <v>0</v>
      </c>
      <c r="E52" s="281" t="str">
        <f t="shared" si="10"/>
        <v>N</v>
      </c>
      <c r="F52" s="52">
        <f t="shared" si="11"/>
        <v>0</v>
      </c>
      <c r="H52" s="72" t="s">
        <v>66</v>
      </c>
      <c r="I52" s="40">
        <v>666.49</v>
      </c>
      <c r="J52" s="40">
        <v>9326.3000000000011</v>
      </c>
      <c r="K52" s="40">
        <v>7560.5062399999997</v>
      </c>
      <c r="L52" s="40">
        <f t="shared" si="9"/>
        <v>468373.36156799999</v>
      </c>
    </row>
    <row r="53" spans="1:12" s="290" customFormat="1" x14ac:dyDescent="0.3">
      <c r="A53" s="72" t="s">
        <v>67</v>
      </c>
      <c r="B53" s="385">
        <f>IF($E53="N",0,Base!B49-Option5!I53)</f>
        <v>0</v>
      </c>
      <c r="C53" s="385">
        <f>IF($E53="N",0,Base!C49-Option5!J53)</f>
        <v>0</v>
      </c>
      <c r="D53" s="385">
        <f>IF($E53="N",0,Base!D49-Option5!K53)</f>
        <v>0</v>
      </c>
      <c r="E53" s="281" t="str">
        <f t="shared" si="10"/>
        <v>N</v>
      </c>
      <c r="F53" s="52">
        <f t="shared" si="11"/>
        <v>0</v>
      </c>
      <c r="H53" s="72" t="s">
        <v>67</v>
      </c>
      <c r="I53" s="40">
        <v>747.84</v>
      </c>
      <c r="J53" s="40">
        <v>9643.66</v>
      </c>
      <c r="K53" s="40">
        <v>7746.3918399999993</v>
      </c>
      <c r="L53" s="40">
        <f t="shared" si="9"/>
        <v>479888.97448799998</v>
      </c>
    </row>
    <row r="54" spans="1:12" s="290" customFormat="1" x14ac:dyDescent="0.3">
      <c r="A54" s="72" t="s">
        <v>68</v>
      </c>
      <c r="B54" s="385">
        <f>IF($E54="N",0,Base!B50-Option5!I54)</f>
        <v>0</v>
      </c>
      <c r="C54" s="385">
        <f>IF($E54="N",0,Base!C50-Option5!J54)</f>
        <v>0</v>
      </c>
      <c r="D54" s="385">
        <f>IF($E54="N",0,Base!D50-Option5!K54)</f>
        <v>0</v>
      </c>
      <c r="E54" s="281" t="str">
        <f t="shared" si="10"/>
        <v>N</v>
      </c>
      <c r="F54" s="52">
        <f t="shared" si="11"/>
        <v>0</v>
      </c>
      <c r="H54" s="72" t="s">
        <v>68</v>
      </c>
      <c r="I54" s="40">
        <v>1033.27</v>
      </c>
      <c r="J54" s="40">
        <v>10339.1</v>
      </c>
      <c r="K54" s="40">
        <v>8068.7688799999996</v>
      </c>
      <c r="L54" s="40">
        <f t="shared" si="9"/>
        <v>499860.23211600003</v>
      </c>
    </row>
    <row r="55" spans="1:12" s="290" customFormat="1" x14ac:dyDescent="0.3">
      <c r="A55" s="72" t="s">
        <v>69</v>
      </c>
      <c r="B55" s="385">
        <f>IF($E55="N",0,Base!B51-Option5!I55)</f>
        <v>0</v>
      </c>
      <c r="C55" s="385">
        <f>IF($E55="N",0,Base!C51-Option5!J55)</f>
        <v>0</v>
      </c>
      <c r="D55" s="385">
        <f>IF($E55="N",0,Base!D51-Option5!K55)</f>
        <v>0</v>
      </c>
      <c r="E55" s="281" t="str">
        <f t="shared" si="10"/>
        <v>N</v>
      </c>
      <c r="F55" s="52">
        <f t="shared" si="11"/>
        <v>0</v>
      </c>
      <c r="H55" s="72" t="s">
        <v>69</v>
      </c>
      <c r="I55" s="40">
        <v>1055.81</v>
      </c>
      <c r="J55" s="40">
        <v>10890.440000000002</v>
      </c>
      <c r="K55" s="40">
        <v>8416.2365600000012</v>
      </c>
      <c r="L55" s="40">
        <f t="shared" si="9"/>
        <v>521385.85489200009</v>
      </c>
    </row>
    <row r="56" spans="1:12" s="290" customFormat="1" x14ac:dyDescent="0.3">
      <c r="A56" s="72" t="s">
        <v>70</v>
      </c>
      <c r="B56" s="385">
        <f>IF($E56="N",0,Base!B52-Option5!I56)</f>
        <v>124.19000000000005</v>
      </c>
      <c r="C56" s="385">
        <f>IF($E56="N",0,Base!C52-Option5!J56)</f>
        <v>2376.3399999999965</v>
      </c>
      <c r="D56" s="385">
        <f>IF($E56="N",0,Base!D52-Option5!K56)</f>
        <v>1512.6944799999983</v>
      </c>
      <c r="E56" s="281" t="str">
        <f t="shared" si="10"/>
        <v>Y</v>
      </c>
      <c r="F56" s="52">
        <f t="shared" si="11"/>
        <v>93711.423035999906</v>
      </c>
      <c r="H56" s="72" t="s">
        <v>70</v>
      </c>
      <c r="I56" s="40">
        <v>1279.57</v>
      </c>
      <c r="J56" s="40">
        <v>12301.63</v>
      </c>
      <c r="K56" s="40">
        <v>8881.8827199999996</v>
      </c>
      <c r="L56" s="40">
        <f t="shared" si="9"/>
        <v>550232.63450399996</v>
      </c>
    </row>
    <row r="57" spans="1:12" s="290" customFormat="1" x14ac:dyDescent="0.3">
      <c r="A57" s="72" t="s">
        <v>71</v>
      </c>
      <c r="B57" s="385">
        <f>IF($E57="N",0,Base!B53-Option5!I57)</f>
        <v>5.0399999999999636</v>
      </c>
      <c r="C57" s="385">
        <f>IF($E57="N",0,Base!C53-Option5!J57)</f>
        <v>2890.9099999999962</v>
      </c>
      <c r="D57" s="385">
        <f>IF($E57="N",0,Base!D53-Option5!K57)</f>
        <v>1751.8224799999989</v>
      </c>
      <c r="E57" s="281" t="str">
        <f t="shared" si="10"/>
        <v>Y</v>
      </c>
      <c r="F57" s="52">
        <f t="shared" si="11"/>
        <v>108525.40263599994</v>
      </c>
      <c r="H57" s="72" t="s">
        <v>71</v>
      </c>
      <c r="I57" s="40">
        <v>1436.47</v>
      </c>
      <c r="J57" s="40">
        <v>13626.470000000001</v>
      </c>
      <c r="K57" s="40">
        <v>9364.2356</v>
      </c>
      <c r="L57" s="40">
        <f t="shared" si="9"/>
        <v>580114.39542000007</v>
      </c>
    </row>
    <row r="58" spans="1:12" s="290" customFormat="1" x14ac:dyDescent="0.3">
      <c r="A58" s="72" t="s">
        <v>72</v>
      </c>
      <c r="B58" s="385">
        <f>IF($E58="N",0,Base!B54-Option5!I58)</f>
        <v>-8.3299999999999272</v>
      </c>
      <c r="C58" s="385">
        <f>IF($E58="N",0,Base!C54-Option5!J58)</f>
        <v>3266.0500000000047</v>
      </c>
      <c r="D58" s="385">
        <f>IF($E58="N",0,Base!D54-Option5!K58)</f>
        <v>1834.9904800000004</v>
      </c>
      <c r="E58" s="281" t="str">
        <f t="shared" si="10"/>
        <v>Y</v>
      </c>
      <c r="F58" s="52">
        <f t="shared" si="11"/>
        <v>113677.66023600003</v>
      </c>
      <c r="H58" s="72" t="s">
        <v>72</v>
      </c>
      <c r="I58" s="40">
        <v>1674.23</v>
      </c>
      <c r="J58" s="40">
        <v>15899.179999999998</v>
      </c>
      <c r="K58" s="40">
        <v>10479.212239999999</v>
      </c>
      <c r="L58" s="40">
        <f t="shared" si="9"/>
        <v>649187.19826799992</v>
      </c>
    </row>
    <row r="59" spans="1:12" s="290" customFormat="1" x14ac:dyDescent="0.3">
      <c r="A59" s="72" t="s">
        <v>73</v>
      </c>
      <c r="B59" s="385">
        <f>IF($E59="N",0,Base!B55-Option5!I59)</f>
        <v>48.989999999999782</v>
      </c>
      <c r="C59" s="385">
        <f>IF($E59="N",0,Base!C55-Option5!J59)</f>
        <v>4332.690000000006</v>
      </c>
      <c r="D59" s="385">
        <f>IF($E59="N",0,Base!D55-Option5!K59)</f>
        <v>2384.2658400000037</v>
      </c>
      <c r="E59" s="281" t="str">
        <f t="shared" si="10"/>
        <v>Y</v>
      </c>
      <c r="F59" s="52">
        <f t="shared" si="11"/>
        <v>147705.26878800022</v>
      </c>
      <c r="H59" s="72" t="s">
        <v>73</v>
      </c>
      <c r="I59" s="40">
        <v>1900.8400000000001</v>
      </c>
      <c r="J59" s="40">
        <v>18824.349999999995</v>
      </c>
      <c r="K59" s="40">
        <v>11608.061919999996</v>
      </c>
      <c r="L59" s="40">
        <f t="shared" si="9"/>
        <v>719119.43594399979</v>
      </c>
    </row>
    <row r="60" spans="1:12" s="290" customFormat="1" ht="15" thickBot="1" x14ac:dyDescent="0.35">
      <c r="E60" s="60">
        <f>SUM(COUNTIF(E50:E59,{"Y","Y1","Y2"}))</f>
        <v>4</v>
      </c>
      <c r="F60" s="62">
        <f>-PV($G$6,$G$7-E60,F59)</f>
        <v>1429271.2382477261</v>
      </c>
      <c r="G60" s="55" t="s">
        <v>11</v>
      </c>
    </row>
    <row r="61" spans="1:12" s="290" customFormat="1" ht="15" thickTop="1" x14ac:dyDescent="0.3"/>
    <row r="62" spans="1:12" s="290" customFormat="1" ht="15.6" x14ac:dyDescent="0.3">
      <c r="A62" s="409" t="s">
        <v>55</v>
      </c>
      <c r="B62" s="410"/>
      <c r="C62" s="410"/>
      <c r="D62" s="410"/>
      <c r="E62" s="410"/>
      <c r="F62" s="411"/>
      <c r="H62" s="406" t="s">
        <v>61</v>
      </c>
      <c r="I62" s="406"/>
      <c r="J62" s="406"/>
      <c r="K62" s="406"/>
      <c r="L62" s="406"/>
    </row>
    <row r="63" spans="1:12" s="290" customFormat="1" ht="57.6" x14ac:dyDescent="0.3">
      <c r="A63" s="280" t="s">
        <v>5</v>
      </c>
      <c r="B63" s="51" t="s">
        <v>151</v>
      </c>
      <c r="C63" s="51" t="s">
        <v>152</v>
      </c>
      <c r="D63" s="51" t="s">
        <v>153</v>
      </c>
      <c r="E63" s="51" t="s">
        <v>12</v>
      </c>
      <c r="F63" s="51" t="s">
        <v>134</v>
      </c>
      <c r="H63" s="280" t="s">
        <v>5</v>
      </c>
      <c r="I63" s="51" t="s">
        <v>75</v>
      </c>
      <c r="J63" s="51" t="s">
        <v>51</v>
      </c>
      <c r="K63" s="50" t="s">
        <v>0</v>
      </c>
      <c r="L63" s="51" t="s">
        <v>58</v>
      </c>
    </row>
    <row r="64" spans="1:12" s="290" customFormat="1" x14ac:dyDescent="0.3">
      <c r="A64" s="72" t="s">
        <v>64</v>
      </c>
      <c r="B64" s="385">
        <f>IF($E64="N",0,Base!B60-Option5!I64)</f>
        <v>0</v>
      </c>
      <c r="C64" s="385">
        <f>IF($E64="N",0,Base!C60-Option5!J64)</f>
        <v>0</v>
      </c>
      <c r="D64" s="385">
        <f>IF($E64="N",0,Base!D60-Option5!K64)</f>
        <v>0</v>
      </c>
      <c r="E64" s="281" t="str">
        <f>E36</f>
        <v>N</v>
      </c>
      <c r="F64" s="52">
        <f>IF(OR(E64="Y",E64="Y1",E64="Y2"),D64*$G$5,0)</f>
        <v>0</v>
      </c>
      <c r="H64" s="72" t="s">
        <v>64</v>
      </c>
      <c r="I64" s="40">
        <v>523.5</v>
      </c>
      <c r="J64" s="40">
        <v>8617.5500000000011</v>
      </c>
      <c r="K64" s="40">
        <v>7211.6717600000002</v>
      </c>
      <c r="L64" s="40">
        <f t="shared" ref="L64:L73" si="12">K64*$G$5</f>
        <v>446763.06553200004</v>
      </c>
    </row>
    <row r="65" spans="1:15" s="290" customFormat="1" x14ac:dyDescent="0.3">
      <c r="A65" s="72" t="s">
        <v>65</v>
      </c>
      <c r="B65" s="385">
        <f>IF($E65="N",0,Base!B61-Option5!I65)</f>
        <v>0</v>
      </c>
      <c r="C65" s="385">
        <f>IF($E65="N",0,Base!C61-Option5!J65)</f>
        <v>0</v>
      </c>
      <c r="D65" s="385">
        <f>IF($E65="N",0,Base!D61-Option5!K65)</f>
        <v>0</v>
      </c>
      <c r="E65" s="281" t="str">
        <f t="shared" ref="E65:E73" si="13">E37</f>
        <v>N</v>
      </c>
      <c r="F65" s="52">
        <f t="shared" ref="F65:F73" si="14">IF(OR(E65="Y",E65="Y1",E65="Y2"),D65*$G$5,0)</f>
        <v>0</v>
      </c>
      <c r="H65" s="72" t="s">
        <v>65</v>
      </c>
      <c r="I65" s="40">
        <v>546.65</v>
      </c>
      <c r="J65" s="40">
        <v>8753.9500000000007</v>
      </c>
      <c r="K65" s="40">
        <v>7260.8907999999992</v>
      </c>
      <c r="L65" s="40">
        <f t="shared" si="12"/>
        <v>449812.18505999999</v>
      </c>
    </row>
    <row r="66" spans="1:15" s="290" customFormat="1" x14ac:dyDescent="0.3">
      <c r="A66" s="72" t="s">
        <v>66</v>
      </c>
      <c r="B66" s="385">
        <f>IF($E66="N",0,Base!B62-Option5!I66)</f>
        <v>0</v>
      </c>
      <c r="C66" s="385">
        <f>IF($E66="N",0,Base!C62-Option5!J66)</f>
        <v>0</v>
      </c>
      <c r="D66" s="385">
        <f>IF($E66="N",0,Base!D62-Option5!K66)</f>
        <v>0</v>
      </c>
      <c r="E66" s="281" t="str">
        <f t="shared" si="13"/>
        <v>N</v>
      </c>
      <c r="F66" s="52">
        <f t="shared" si="14"/>
        <v>0</v>
      </c>
      <c r="H66" s="72" t="s">
        <v>66</v>
      </c>
      <c r="I66" s="40">
        <v>563.82000000000005</v>
      </c>
      <c r="J66" s="40">
        <v>8862.2300000000014</v>
      </c>
      <c r="K66" s="40">
        <v>7329.2969599999997</v>
      </c>
      <c r="L66" s="40">
        <f t="shared" si="12"/>
        <v>454049.94667199999</v>
      </c>
    </row>
    <row r="67" spans="1:15" s="290" customFormat="1" x14ac:dyDescent="0.3">
      <c r="A67" s="72" t="s">
        <v>67</v>
      </c>
      <c r="B67" s="385">
        <f>IF($E67="N",0,Base!B63-Option5!I67)</f>
        <v>0</v>
      </c>
      <c r="C67" s="385">
        <f>IF($E67="N",0,Base!C63-Option5!J67)</f>
        <v>0</v>
      </c>
      <c r="D67" s="385">
        <f>IF($E67="N",0,Base!D63-Option5!K67)</f>
        <v>0</v>
      </c>
      <c r="E67" s="281" t="str">
        <f t="shared" si="13"/>
        <v>N</v>
      </c>
      <c r="F67" s="52">
        <f t="shared" si="14"/>
        <v>0</v>
      </c>
      <c r="H67" s="72" t="s">
        <v>67</v>
      </c>
      <c r="I67" s="40">
        <v>575.37</v>
      </c>
      <c r="J67" s="40">
        <v>8914.7300000000014</v>
      </c>
      <c r="K67" s="40">
        <v>7331.9563999999991</v>
      </c>
      <c r="L67" s="40">
        <f t="shared" si="12"/>
        <v>454214.69897999999</v>
      </c>
    </row>
    <row r="68" spans="1:15" s="290" customFormat="1" x14ac:dyDescent="0.3">
      <c r="A68" s="72" t="s">
        <v>68</v>
      </c>
      <c r="B68" s="385">
        <f>IF($E68="N",0,Base!B64-Option5!I68)</f>
        <v>0</v>
      </c>
      <c r="C68" s="385">
        <f>IF($E68="N",0,Base!C64-Option5!J68)</f>
        <v>0</v>
      </c>
      <c r="D68" s="385">
        <f>IF($E68="N",0,Base!D64-Option5!K68)</f>
        <v>0</v>
      </c>
      <c r="E68" s="281" t="str">
        <f t="shared" si="13"/>
        <v>N</v>
      </c>
      <c r="F68" s="52">
        <f t="shared" si="14"/>
        <v>0</v>
      </c>
      <c r="H68" s="72" t="s">
        <v>68</v>
      </c>
      <c r="I68" s="40">
        <v>657.87</v>
      </c>
      <c r="J68" s="40">
        <v>9149.9999999999982</v>
      </c>
      <c r="K68" s="40">
        <v>7440.686639999999</v>
      </c>
      <c r="L68" s="40">
        <f t="shared" si="12"/>
        <v>460950.53734799998</v>
      </c>
    </row>
    <row r="69" spans="1:15" s="290" customFormat="1" x14ac:dyDescent="0.3">
      <c r="A69" s="72" t="s">
        <v>69</v>
      </c>
      <c r="B69" s="385">
        <f>IF($E69="N",0,Base!B65-Option5!I69)</f>
        <v>0</v>
      </c>
      <c r="C69" s="385">
        <f>IF($E69="N",0,Base!C65-Option5!J69)</f>
        <v>0</v>
      </c>
      <c r="D69" s="385">
        <f>IF($E69="N",0,Base!D65-Option5!K69)</f>
        <v>0</v>
      </c>
      <c r="E69" s="281" t="str">
        <f t="shared" si="13"/>
        <v>N</v>
      </c>
      <c r="F69" s="52">
        <f t="shared" si="14"/>
        <v>0</v>
      </c>
      <c r="H69" s="72" t="s">
        <v>69</v>
      </c>
      <c r="I69" s="40">
        <v>740.81000000000006</v>
      </c>
      <c r="J69" s="40">
        <v>9514.5000000000018</v>
      </c>
      <c r="K69" s="40">
        <v>7655.1290399999989</v>
      </c>
      <c r="L69" s="40">
        <f t="shared" si="12"/>
        <v>474235.24402799993</v>
      </c>
    </row>
    <row r="70" spans="1:15" s="290" customFormat="1" x14ac:dyDescent="0.3">
      <c r="A70" s="72" t="s">
        <v>70</v>
      </c>
      <c r="B70" s="385">
        <f>IF($E70="N",0,Base!B66-Option5!I70)</f>
        <v>288.83000000000015</v>
      </c>
      <c r="C70" s="385">
        <f>IF($E70="N",0,Base!C66-Option5!J70)</f>
        <v>1144.4500000000007</v>
      </c>
      <c r="D70" s="385">
        <f>IF($E70="N",0,Base!D66-Option5!K70)</f>
        <v>710.20168000000012</v>
      </c>
      <c r="E70" s="281" t="str">
        <f t="shared" si="13"/>
        <v>Y</v>
      </c>
      <c r="F70" s="52">
        <f t="shared" si="14"/>
        <v>43996.99407600001</v>
      </c>
      <c r="H70" s="72" t="s">
        <v>70</v>
      </c>
      <c r="I70" s="40">
        <v>778.73</v>
      </c>
      <c r="J70" s="40">
        <v>9900.2899999999991</v>
      </c>
      <c r="K70" s="40">
        <v>7820.7324799999988</v>
      </c>
      <c r="L70" s="40">
        <f t="shared" si="12"/>
        <v>484494.37713599997</v>
      </c>
    </row>
    <row r="71" spans="1:15" s="290" customFormat="1" x14ac:dyDescent="0.3">
      <c r="A71" s="72" t="s">
        <v>71</v>
      </c>
      <c r="B71" s="385">
        <f>IF($E71="N",0,Base!B67-Option5!I71)</f>
        <v>273.88999999999987</v>
      </c>
      <c r="C71" s="385">
        <f>IF($E71="N",0,Base!C67-Option5!J71)</f>
        <v>1166.3600000000006</v>
      </c>
      <c r="D71" s="385">
        <f>IF($E71="N",0,Base!D67-Option5!K71)</f>
        <v>727.14919999999984</v>
      </c>
      <c r="E71" s="281" t="str">
        <f t="shared" si="13"/>
        <v>Y</v>
      </c>
      <c r="F71" s="52">
        <f t="shared" si="14"/>
        <v>45046.892939999991</v>
      </c>
      <c r="H71" s="72" t="s">
        <v>71</v>
      </c>
      <c r="I71" s="40">
        <v>825.23</v>
      </c>
      <c r="J71" s="40">
        <v>10368.25</v>
      </c>
      <c r="K71" s="40">
        <v>8036.9979999999996</v>
      </c>
      <c r="L71" s="40">
        <f t="shared" si="12"/>
        <v>497892.02610000002</v>
      </c>
    </row>
    <row r="72" spans="1:15" s="290" customFormat="1" x14ac:dyDescent="0.3">
      <c r="A72" s="72" t="s">
        <v>72</v>
      </c>
      <c r="B72" s="385">
        <f>IF($E72="N",0,Base!B68-Option5!I72)</f>
        <v>288.49</v>
      </c>
      <c r="C72" s="385">
        <f>IF($E72="N",0,Base!C68-Option5!J72)</f>
        <v>948.72999999999774</v>
      </c>
      <c r="D72" s="385">
        <f>IF($E72="N",0,Base!D68-Option5!K72)</f>
        <v>592.37799999999879</v>
      </c>
      <c r="E72" s="281" t="str">
        <f t="shared" si="13"/>
        <v>Y</v>
      </c>
      <c r="F72" s="52">
        <f t="shared" si="14"/>
        <v>36697.817099999927</v>
      </c>
      <c r="H72" s="72" t="s">
        <v>72</v>
      </c>
      <c r="I72" s="40">
        <v>754.59000000000015</v>
      </c>
      <c r="J72" s="40">
        <v>10542.11</v>
      </c>
      <c r="K72" s="40">
        <v>7974.5729599999995</v>
      </c>
      <c r="L72" s="40">
        <f t="shared" si="12"/>
        <v>494024.794872</v>
      </c>
    </row>
    <row r="73" spans="1:15" s="290" customFormat="1" x14ac:dyDescent="0.3">
      <c r="A73" s="72" t="s">
        <v>73</v>
      </c>
      <c r="B73" s="385">
        <f>IF($E73="N",0,Base!B69-Option5!I73)</f>
        <v>303.24000000000012</v>
      </c>
      <c r="C73" s="385">
        <f>IF($E73="N",0,Base!C69-Option5!J73)</f>
        <v>1129.6499999999996</v>
      </c>
      <c r="D73" s="385">
        <f>IF($E73="N",0,Base!D69-Option5!K73)</f>
        <v>693.81480000000192</v>
      </c>
      <c r="E73" s="281" t="str">
        <f t="shared" si="13"/>
        <v>Y</v>
      </c>
      <c r="F73" s="52">
        <f t="shared" si="14"/>
        <v>42981.826860000125</v>
      </c>
      <c r="H73" s="72" t="s">
        <v>73</v>
      </c>
      <c r="I73" s="40">
        <v>780.88</v>
      </c>
      <c r="J73" s="40">
        <v>11372.88</v>
      </c>
      <c r="K73" s="40">
        <v>8244.3739199999982</v>
      </c>
      <c r="L73" s="40">
        <f t="shared" si="12"/>
        <v>510738.96434399992</v>
      </c>
    </row>
    <row r="74" spans="1:15" s="290" customFormat="1" ht="15" thickBot="1" x14ac:dyDescent="0.35">
      <c r="E74" s="60">
        <f>SUM(COUNTIF(E64:E73,{"Y","Y1","Y2"}))</f>
        <v>4</v>
      </c>
      <c r="F74" s="62">
        <f>-PV($G$6,$G$7-E74,F73)</f>
        <v>415913.9982102834</v>
      </c>
      <c r="G74" s="55" t="s">
        <v>11</v>
      </c>
    </row>
    <row r="75" spans="1:15" s="290" customFormat="1" ht="15" thickTop="1" x14ac:dyDescent="0.3"/>
    <row r="76" spans="1:15" s="290" customFormat="1" ht="15.6" x14ac:dyDescent="0.3">
      <c r="A76" s="409" t="s">
        <v>54</v>
      </c>
      <c r="B76" s="410"/>
      <c r="C76" s="410"/>
      <c r="D76" s="410"/>
      <c r="E76" s="410"/>
      <c r="F76" s="411"/>
      <c r="H76" s="406" t="s">
        <v>62</v>
      </c>
      <c r="I76" s="406"/>
      <c r="J76" s="406"/>
      <c r="K76" s="406"/>
      <c r="L76" s="406"/>
    </row>
    <row r="77" spans="1:15" s="290" customFormat="1" ht="57.6" x14ac:dyDescent="0.3">
      <c r="A77" s="280" t="s">
        <v>5</v>
      </c>
      <c r="B77" s="51" t="s">
        <v>151</v>
      </c>
      <c r="C77" s="51" t="s">
        <v>152</v>
      </c>
      <c r="D77" s="51" t="s">
        <v>153</v>
      </c>
      <c r="E77" s="51" t="s">
        <v>12</v>
      </c>
      <c r="F77" s="51" t="s">
        <v>134</v>
      </c>
      <c r="H77" s="280" t="s">
        <v>5</v>
      </c>
      <c r="I77" s="51" t="s">
        <v>75</v>
      </c>
      <c r="J77" s="51" t="s">
        <v>51</v>
      </c>
      <c r="K77" s="50" t="s">
        <v>0</v>
      </c>
      <c r="L77" s="51" t="s">
        <v>58</v>
      </c>
    </row>
    <row r="78" spans="1:15" s="290" customFormat="1" x14ac:dyDescent="0.3">
      <c r="A78" s="72" t="s">
        <v>64</v>
      </c>
      <c r="B78" s="385">
        <f>IF($E78="N",0,Base!B74-Option5!I78)</f>
        <v>0</v>
      </c>
      <c r="C78" s="385">
        <f>IF($E78="N",0,Base!C74-Option5!J78)</f>
        <v>0</v>
      </c>
      <c r="D78" s="385">
        <f>IF($E78="N",0,Base!D74-Option5!K78)</f>
        <v>0</v>
      </c>
      <c r="E78" s="281" t="str">
        <f>E36</f>
        <v>N</v>
      </c>
      <c r="F78" s="52">
        <f>IF(OR(E78="Y",E78="Y1",E78="Y2"),D78*$G$5,0)</f>
        <v>0</v>
      </c>
      <c r="H78" s="72" t="s">
        <v>64</v>
      </c>
      <c r="I78" s="40">
        <v>523.5</v>
      </c>
      <c r="J78" s="40">
        <v>8617.5500000000011</v>
      </c>
      <c r="K78" s="40">
        <v>7211.6717600000002</v>
      </c>
      <c r="L78" s="40">
        <f t="shared" ref="L78:L87" si="15">K78*$G$5</f>
        <v>446763.06553200004</v>
      </c>
    </row>
    <row r="79" spans="1:15" s="290" customFormat="1" x14ac:dyDescent="0.3">
      <c r="A79" s="72" t="s">
        <v>65</v>
      </c>
      <c r="B79" s="385">
        <f>IF($E79="N",0,Base!B75-Option5!I79)</f>
        <v>0</v>
      </c>
      <c r="C79" s="385">
        <f>IF($E79="N",0,Base!C75-Option5!J79)</f>
        <v>0</v>
      </c>
      <c r="D79" s="385">
        <f>IF($E79="N",0,Base!D75-Option5!K79)</f>
        <v>0</v>
      </c>
      <c r="E79" s="281" t="str">
        <f t="shared" ref="E79:E87" si="16">E37</f>
        <v>N</v>
      </c>
      <c r="F79" s="52">
        <f t="shared" ref="F79:F87" si="17">IF(OR(E79="Y",E79="Y1",E79="Y2"),D79*$G$5,0)</f>
        <v>0</v>
      </c>
      <c r="H79" s="72" t="s">
        <v>65</v>
      </c>
      <c r="I79" s="40">
        <v>546.65</v>
      </c>
      <c r="J79" s="40">
        <v>8753.6</v>
      </c>
      <c r="K79" s="40">
        <v>7260.3250399999988</v>
      </c>
      <c r="L79" s="40">
        <f t="shared" si="15"/>
        <v>449777.13622799993</v>
      </c>
    </row>
    <row r="80" spans="1:15" s="290" customFormat="1" x14ac:dyDescent="0.3">
      <c r="A80" s="72" t="s">
        <v>66</v>
      </c>
      <c r="B80" s="385">
        <f>IF($E80="N",0,Base!B76-Option5!I80)</f>
        <v>0</v>
      </c>
      <c r="C80" s="385">
        <f>IF($E80="N",0,Base!C76-Option5!J80)</f>
        <v>0</v>
      </c>
      <c r="D80" s="385">
        <f>IF($E80="N",0,Base!D76-Option5!K80)</f>
        <v>0</v>
      </c>
      <c r="E80" s="281" t="str">
        <f t="shared" si="16"/>
        <v>N</v>
      </c>
      <c r="F80" s="52">
        <f t="shared" si="17"/>
        <v>0</v>
      </c>
      <c r="H80" s="72" t="s">
        <v>66</v>
      </c>
      <c r="I80" s="40">
        <v>566.91999999999996</v>
      </c>
      <c r="J80" s="40">
        <v>8864.5700000000015</v>
      </c>
      <c r="K80" s="40">
        <v>7329.9039200000007</v>
      </c>
      <c r="L80" s="40">
        <f t="shared" si="15"/>
        <v>454087.54784400004</v>
      </c>
      <c r="N80" s="39"/>
      <c r="O80" s="39"/>
    </row>
    <row r="81" spans="1:15" s="290" customFormat="1" x14ac:dyDescent="0.3">
      <c r="A81" s="72" t="s">
        <v>67</v>
      </c>
      <c r="B81" s="385">
        <f>IF($E81="N",0,Base!B77-Option5!I81)</f>
        <v>0</v>
      </c>
      <c r="C81" s="385">
        <f>IF($E81="N",0,Base!C77-Option5!J81)</f>
        <v>0</v>
      </c>
      <c r="D81" s="385">
        <f>IF($E81="N",0,Base!D77-Option5!K81)</f>
        <v>0</v>
      </c>
      <c r="E81" s="281" t="str">
        <f t="shared" si="16"/>
        <v>N</v>
      </c>
      <c r="F81" s="52">
        <f t="shared" si="17"/>
        <v>0</v>
      </c>
      <c r="H81" s="72" t="s">
        <v>67</v>
      </c>
      <c r="I81" s="40">
        <v>614.96</v>
      </c>
      <c r="J81" s="40">
        <v>9063.9800000000014</v>
      </c>
      <c r="K81" s="40">
        <v>7469.1725600000009</v>
      </c>
      <c r="L81" s="40">
        <f t="shared" si="15"/>
        <v>462715.24009200005</v>
      </c>
      <c r="N81" s="45"/>
      <c r="O81" s="54"/>
    </row>
    <row r="82" spans="1:15" s="290" customFormat="1" x14ac:dyDescent="0.3">
      <c r="A82" s="72" t="s">
        <v>68</v>
      </c>
      <c r="B82" s="385">
        <f>IF($E82="N",0,Base!B78-Option5!I82)</f>
        <v>0</v>
      </c>
      <c r="C82" s="385">
        <f>IF($E82="N",0,Base!C78-Option5!J82)</f>
        <v>0</v>
      </c>
      <c r="D82" s="385">
        <f>IF($E82="N",0,Base!D78-Option5!K82)</f>
        <v>0</v>
      </c>
      <c r="E82" s="281" t="str">
        <f t="shared" si="16"/>
        <v>N</v>
      </c>
      <c r="F82" s="52">
        <f t="shared" si="17"/>
        <v>0</v>
      </c>
      <c r="H82" s="72" t="s">
        <v>68</v>
      </c>
      <c r="I82" s="40">
        <v>916</v>
      </c>
      <c r="J82" s="40">
        <v>9599.3500000000022</v>
      </c>
      <c r="K82" s="40">
        <v>7712.6819200000009</v>
      </c>
      <c r="L82" s="40">
        <f t="shared" si="15"/>
        <v>477800.64494400006</v>
      </c>
      <c r="N82" s="45"/>
      <c r="O82" s="54"/>
    </row>
    <row r="83" spans="1:15" s="290" customFormat="1" x14ac:dyDescent="0.3">
      <c r="A83" s="72" t="s">
        <v>69</v>
      </c>
      <c r="B83" s="385">
        <f>IF($E83="N",0,Base!B79-Option5!I83)</f>
        <v>0</v>
      </c>
      <c r="C83" s="385">
        <f>IF($E83="N",0,Base!C79-Option5!J83)</f>
        <v>0</v>
      </c>
      <c r="D83" s="385">
        <f>IF($E83="N",0,Base!D79-Option5!K83)</f>
        <v>0</v>
      </c>
      <c r="E83" s="281" t="str">
        <f t="shared" si="16"/>
        <v>N</v>
      </c>
      <c r="F83" s="52">
        <f t="shared" si="17"/>
        <v>0</v>
      </c>
      <c r="H83" s="72" t="s">
        <v>69</v>
      </c>
      <c r="I83" s="40">
        <v>1010.0500000000001</v>
      </c>
      <c r="J83" s="40">
        <v>10022.86</v>
      </c>
      <c r="K83" s="40">
        <v>7976.4668799999999</v>
      </c>
      <c r="L83" s="40">
        <f t="shared" si="15"/>
        <v>494142.12321600004</v>
      </c>
      <c r="N83" s="39"/>
      <c r="O83" s="39"/>
    </row>
    <row r="84" spans="1:15" s="290" customFormat="1" x14ac:dyDescent="0.3">
      <c r="A84" s="72" t="s">
        <v>70</v>
      </c>
      <c r="B84" s="385">
        <f>IF($E84="N",0,Base!B80-Option5!I84)</f>
        <v>171.31000000000006</v>
      </c>
      <c r="C84" s="385">
        <f>IF($E84="N",0,Base!C80-Option5!J84)</f>
        <v>1863.4899999999961</v>
      </c>
      <c r="D84" s="385">
        <f>IF($E84="N",0,Base!D80-Option5!K84)</f>
        <v>1160.634399999999</v>
      </c>
      <c r="E84" s="281" t="str">
        <f t="shared" si="16"/>
        <v>Y</v>
      </c>
      <c r="F84" s="52">
        <f t="shared" si="17"/>
        <v>71901.301079999947</v>
      </c>
      <c r="H84" s="72" t="s">
        <v>70</v>
      </c>
      <c r="I84" s="40">
        <v>953.3399999999998</v>
      </c>
      <c r="J84" s="40">
        <v>10235.050000000001</v>
      </c>
      <c r="K84" s="40">
        <v>8060.0917599999993</v>
      </c>
      <c r="L84" s="40">
        <f t="shared" si="15"/>
        <v>499322.68453199998</v>
      </c>
      <c r="N84" s="39"/>
      <c r="O84" s="39"/>
    </row>
    <row r="85" spans="1:15" s="290" customFormat="1" x14ac:dyDescent="0.3">
      <c r="A85" s="72" t="s">
        <v>71</v>
      </c>
      <c r="B85" s="385">
        <f>IF($E85="N",0,Base!B81-Option5!I85)</f>
        <v>345.15</v>
      </c>
      <c r="C85" s="385">
        <f>IF($E85="N",0,Base!C81-Option5!J85)</f>
        <v>2059.7000000000025</v>
      </c>
      <c r="D85" s="385">
        <f>IF($E85="N",0,Base!D81-Option5!K85)</f>
        <v>1263.4968800000006</v>
      </c>
      <c r="E85" s="281" t="str">
        <f t="shared" si="16"/>
        <v>Y</v>
      </c>
      <c r="F85" s="52">
        <f t="shared" si="17"/>
        <v>78273.631716000047</v>
      </c>
      <c r="H85" s="72" t="s">
        <v>71</v>
      </c>
      <c r="I85" s="40">
        <v>957.83</v>
      </c>
      <c r="J85" s="40">
        <v>10662.37</v>
      </c>
      <c r="K85" s="40">
        <v>8228.8268800000005</v>
      </c>
      <c r="L85" s="40">
        <f t="shared" si="15"/>
        <v>509775.82521600008</v>
      </c>
      <c r="N85" s="39"/>
      <c r="O85" s="39"/>
    </row>
    <row r="86" spans="1:15" s="290" customFormat="1" x14ac:dyDescent="0.3">
      <c r="A86" s="72" t="s">
        <v>72</v>
      </c>
      <c r="B86" s="385">
        <f>IF($E86="N",0,Base!B82-Option5!I86)</f>
        <v>172.1700000000003</v>
      </c>
      <c r="C86" s="385">
        <f>IF($E86="N",0,Base!C82-Option5!J86)</f>
        <v>2095.4300000000003</v>
      </c>
      <c r="D86" s="385">
        <f>IF($E86="N",0,Base!D82-Option5!K86)</f>
        <v>1318.5548000000017</v>
      </c>
      <c r="E86" s="281" t="str">
        <f t="shared" si="16"/>
        <v>Y</v>
      </c>
      <c r="F86" s="52">
        <f t="shared" si="17"/>
        <v>81684.469860000114</v>
      </c>
      <c r="H86" s="72" t="s">
        <v>72</v>
      </c>
      <c r="I86" s="40">
        <v>1038.3</v>
      </c>
      <c r="J86" s="40">
        <v>11222.199999999999</v>
      </c>
      <c r="K86" s="40">
        <v>8477.4195999999974</v>
      </c>
      <c r="L86" s="40">
        <f t="shared" si="15"/>
        <v>525176.1442199999</v>
      </c>
    </row>
    <row r="87" spans="1:15" s="290" customFormat="1" x14ac:dyDescent="0.3">
      <c r="A87" s="72" t="s">
        <v>73</v>
      </c>
      <c r="B87" s="385">
        <f>IF($E87="N",0,Base!B83-Option5!I87)</f>
        <v>185.16999999999985</v>
      </c>
      <c r="C87" s="385">
        <f>IF($E87="N",0,Base!C83-Option5!J87)</f>
        <v>2604.16</v>
      </c>
      <c r="D87" s="385">
        <f>IF($E87="N",0,Base!D83-Option5!K87)</f>
        <v>1639.1838400000015</v>
      </c>
      <c r="E87" s="281" t="str">
        <f t="shared" si="16"/>
        <v>Y</v>
      </c>
      <c r="F87" s="52">
        <f t="shared" si="17"/>
        <v>101547.43888800009</v>
      </c>
      <c r="H87" s="72" t="s">
        <v>73</v>
      </c>
      <c r="I87" s="40">
        <v>1218.55</v>
      </c>
      <c r="J87" s="40">
        <v>12336.149999999998</v>
      </c>
      <c r="K87" s="40">
        <v>8863.5275999999976</v>
      </c>
      <c r="L87" s="40">
        <f t="shared" si="15"/>
        <v>549095.53481999983</v>
      </c>
    </row>
    <row r="88" spans="1:15" s="290" customFormat="1" ht="15" thickBot="1" x14ac:dyDescent="0.35">
      <c r="E88" s="60">
        <f>SUM(COUNTIF(E78:E87,{"Y","Y1","Y2"}))</f>
        <v>4</v>
      </c>
      <c r="F88" s="62">
        <f>-PV($G$6,$G$7-E88,F87)</f>
        <v>982624.62071446748</v>
      </c>
      <c r="G88" s="55" t="s">
        <v>11</v>
      </c>
    </row>
    <row r="89" spans="1:15" s="290" customFormat="1" ht="15" thickTop="1" x14ac:dyDescent="0.3"/>
    <row r="90" spans="1:15" s="290" customFormat="1" ht="15.6" x14ac:dyDescent="0.3">
      <c r="A90" s="409" t="s">
        <v>53</v>
      </c>
      <c r="B90" s="410"/>
      <c r="C90" s="410"/>
      <c r="D90" s="410"/>
      <c r="E90" s="410"/>
      <c r="F90" s="411"/>
      <c r="H90" s="406" t="s">
        <v>63</v>
      </c>
      <c r="I90" s="406"/>
      <c r="J90" s="406"/>
      <c r="K90" s="406"/>
      <c r="L90" s="406"/>
    </row>
    <row r="91" spans="1:15" s="290" customFormat="1" ht="57.6" x14ac:dyDescent="0.3">
      <c r="A91" s="280" t="s">
        <v>5</v>
      </c>
      <c r="B91" s="51" t="s">
        <v>151</v>
      </c>
      <c r="C91" s="51" t="s">
        <v>152</v>
      </c>
      <c r="D91" s="51" t="s">
        <v>153</v>
      </c>
      <c r="E91" s="51" t="s">
        <v>12</v>
      </c>
      <c r="F91" s="51" t="s">
        <v>134</v>
      </c>
      <c r="H91" s="280" t="s">
        <v>5</v>
      </c>
      <c r="I91" s="51" t="s">
        <v>75</v>
      </c>
      <c r="J91" s="51" t="s">
        <v>51</v>
      </c>
      <c r="K91" s="50" t="s">
        <v>0</v>
      </c>
      <c r="L91" s="51" t="s">
        <v>58</v>
      </c>
    </row>
    <row r="92" spans="1:15" s="290" customFormat="1" x14ac:dyDescent="0.3">
      <c r="A92" s="72" t="s">
        <v>64</v>
      </c>
      <c r="B92" s="385">
        <f>IF($E92="N",0,Base!B88-Option5!I92)</f>
        <v>0</v>
      </c>
      <c r="C92" s="385">
        <f>IF($E92="N",0,Base!C88-Option5!J92)</f>
        <v>0</v>
      </c>
      <c r="D92" s="385">
        <f>IF($E92="N",0,Base!D88-Option5!K92)</f>
        <v>0</v>
      </c>
      <c r="E92" s="281" t="str">
        <f>E36</f>
        <v>N</v>
      </c>
      <c r="F92" s="52">
        <f>IF(OR(E92="Y",E92="Y1",E92="Y2"),D92*$G$5,0)</f>
        <v>0</v>
      </c>
      <c r="H92" s="72" t="s">
        <v>64</v>
      </c>
      <c r="I92" s="40">
        <v>549.59</v>
      </c>
      <c r="J92" s="40">
        <v>8761.1600000000017</v>
      </c>
      <c r="K92" s="40">
        <v>7320.7531999999992</v>
      </c>
      <c r="L92" s="40">
        <f t="shared" ref="L92:L101" si="18">K92*$G$5</f>
        <v>453520.66073999996</v>
      </c>
    </row>
    <row r="93" spans="1:15" s="290" customFormat="1" x14ac:dyDescent="0.3">
      <c r="A93" s="72" t="s">
        <v>65</v>
      </c>
      <c r="B93" s="385">
        <f>IF($E93="N",0,Base!B89-Option5!I93)</f>
        <v>0</v>
      </c>
      <c r="C93" s="385">
        <f>IF($E93="N",0,Base!C89-Option5!J93)</f>
        <v>0</v>
      </c>
      <c r="D93" s="385">
        <f>IF($E93="N",0,Base!D89-Option5!K93)</f>
        <v>0</v>
      </c>
      <c r="E93" s="281" t="str">
        <f t="shared" ref="E93:E101" si="19">E37</f>
        <v>N</v>
      </c>
      <c r="F93" s="52">
        <f t="shared" ref="F93:F101" si="20">IF(OR(E93="Y",E93="Y1",E93="Y2"),D93*$G$5,0)</f>
        <v>0</v>
      </c>
      <c r="H93" s="72" t="s">
        <v>65</v>
      </c>
      <c r="I93" s="40">
        <v>579.09</v>
      </c>
      <c r="J93" s="40">
        <v>8879.4500000000007</v>
      </c>
      <c r="K93" s="40">
        <v>7311.6682399999991</v>
      </c>
      <c r="L93" s="40">
        <f t="shared" si="18"/>
        <v>452957.84746799996</v>
      </c>
    </row>
    <row r="94" spans="1:15" s="290" customFormat="1" x14ac:dyDescent="0.3">
      <c r="A94" s="72" t="s">
        <v>66</v>
      </c>
      <c r="B94" s="385">
        <f>IF($E94="N",0,Base!B90-Option5!I94)</f>
        <v>0</v>
      </c>
      <c r="C94" s="385">
        <f>IF($E94="N",0,Base!C90-Option5!J94)</f>
        <v>0</v>
      </c>
      <c r="D94" s="385">
        <f>IF($E94="N",0,Base!D90-Option5!K94)</f>
        <v>0</v>
      </c>
      <c r="E94" s="281" t="str">
        <f t="shared" si="19"/>
        <v>N</v>
      </c>
      <c r="F94" s="52">
        <f t="shared" si="20"/>
        <v>0</v>
      </c>
      <c r="H94" s="72" t="s">
        <v>66</v>
      </c>
      <c r="I94" s="40">
        <v>644.85</v>
      </c>
      <c r="J94" s="40">
        <v>9261.6200000000008</v>
      </c>
      <c r="K94" s="40">
        <v>7540.5511999999999</v>
      </c>
      <c r="L94" s="40">
        <f t="shared" si="18"/>
        <v>467137.14684</v>
      </c>
    </row>
    <row r="95" spans="1:15" s="290" customFormat="1" x14ac:dyDescent="0.3">
      <c r="A95" s="72" t="s">
        <v>67</v>
      </c>
      <c r="B95" s="385">
        <f>IF($E95="N",0,Base!B91-Option5!I95)</f>
        <v>0</v>
      </c>
      <c r="C95" s="385">
        <f>IF($E95="N",0,Base!C91-Option5!J95)</f>
        <v>0</v>
      </c>
      <c r="D95" s="385">
        <f>IF($E95="N",0,Base!D91-Option5!K95)</f>
        <v>0</v>
      </c>
      <c r="E95" s="281" t="str">
        <f t="shared" si="19"/>
        <v>N</v>
      </c>
      <c r="F95" s="52">
        <f t="shared" si="20"/>
        <v>0</v>
      </c>
      <c r="H95" s="72" t="s">
        <v>67</v>
      </c>
      <c r="I95" s="40">
        <v>692.23</v>
      </c>
      <c r="J95" s="40">
        <v>9443.1299999999992</v>
      </c>
      <c r="K95" s="40">
        <v>7580.0424000000003</v>
      </c>
      <c r="L95" s="40">
        <f t="shared" si="18"/>
        <v>469583.62668000004</v>
      </c>
    </row>
    <row r="96" spans="1:15" s="290" customFormat="1" x14ac:dyDescent="0.3">
      <c r="A96" s="72" t="s">
        <v>68</v>
      </c>
      <c r="B96" s="385">
        <f>IF($E96="N",0,Base!B92-Option5!I96)</f>
        <v>0</v>
      </c>
      <c r="C96" s="385">
        <f>IF($E96="N",0,Base!C92-Option5!J96)</f>
        <v>0</v>
      </c>
      <c r="D96" s="385">
        <f>IF($E96="N",0,Base!D92-Option5!K96)</f>
        <v>0</v>
      </c>
      <c r="E96" s="281" t="str">
        <f t="shared" si="19"/>
        <v>N</v>
      </c>
      <c r="F96" s="52">
        <f t="shared" si="20"/>
        <v>0</v>
      </c>
      <c r="H96" s="72" t="s">
        <v>68</v>
      </c>
      <c r="I96" s="40">
        <v>774.91</v>
      </c>
      <c r="J96" s="40">
        <v>9756.0999999999985</v>
      </c>
      <c r="K96" s="40">
        <v>7658.4116799999993</v>
      </c>
      <c r="L96" s="40">
        <f t="shared" si="18"/>
        <v>474438.60357599996</v>
      </c>
    </row>
    <row r="97" spans="1:12" s="290" customFormat="1" x14ac:dyDescent="0.3">
      <c r="A97" s="72" t="s">
        <v>69</v>
      </c>
      <c r="B97" s="385">
        <f>IF($E97="N",0,Base!B93-Option5!I97)</f>
        <v>0</v>
      </c>
      <c r="C97" s="385">
        <f>IF($E97="N",0,Base!C93-Option5!J97)</f>
        <v>0</v>
      </c>
      <c r="D97" s="385">
        <f>IF($E97="N",0,Base!D93-Option5!K97)</f>
        <v>0</v>
      </c>
      <c r="E97" s="281" t="str">
        <f t="shared" si="19"/>
        <v>N</v>
      </c>
      <c r="F97" s="52">
        <f t="shared" si="20"/>
        <v>0</v>
      </c>
      <c r="H97" s="72" t="s">
        <v>69</v>
      </c>
      <c r="I97" s="40">
        <v>874.61</v>
      </c>
      <c r="J97" s="40">
        <v>10418.779999999999</v>
      </c>
      <c r="K97" s="40">
        <v>7971.5465600000007</v>
      </c>
      <c r="L97" s="40">
        <f t="shared" si="18"/>
        <v>493837.30939200008</v>
      </c>
    </row>
    <row r="98" spans="1:12" s="290" customFormat="1" x14ac:dyDescent="0.3">
      <c r="A98" s="72" t="s">
        <v>70</v>
      </c>
      <c r="B98" s="385">
        <f>IF($E98="N",0,Base!B94-Option5!I98)</f>
        <v>139.70000000000016</v>
      </c>
      <c r="C98" s="385">
        <f>IF($E98="N",0,Base!C94-Option5!J98)</f>
        <v>720.3899999999976</v>
      </c>
      <c r="D98" s="385">
        <f>IF($E98="N",0,Base!D94-Option5!K98)</f>
        <v>527.94599999999991</v>
      </c>
      <c r="E98" s="281" t="str">
        <f t="shared" si="19"/>
        <v>Y</v>
      </c>
      <c r="F98" s="52">
        <f t="shared" si="20"/>
        <v>32706.254699999998</v>
      </c>
      <c r="H98" s="72" t="s">
        <v>70</v>
      </c>
      <c r="I98" s="40">
        <v>933.18</v>
      </c>
      <c r="J98" s="40">
        <v>11560.79</v>
      </c>
      <c r="K98" s="40">
        <v>8474.7190399999999</v>
      </c>
      <c r="L98" s="40">
        <f t="shared" si="18"/>
        <v>525008.84452799999</v>
      </c>
    </row>
    <row r="99" spans="1:12" s="290" customFormat="1" x14ac:dyDescent="0.3">
      <c r="A99" s="72" t="s">
        <v>71</v>
      </c>
      <c r="B99" s="385">
        <f>IF($E99="N",0,Base!B95-Option5!I99)</f>
        <v>142.67000000000019</v>
      </c>
      <c r="C99" s="385">
        <f>IF($E99="N",0,Base!C95-Option5!J99)</f>
        <v>826.11999999999898</v>
      </c>
      <c r="D99" s="385">
        <f>IF($E99="N",0,Base!D95-Option5!K99)</f>
        <v>593.63512000000082</v>
      </c>
      <c r="E99" s="281" t="str">
        <f t="shared" si="19"/>
        <v>Y</v>
      </c>
      <c r="F99" s="52">
        <f t="shared" si="20"/>
        <v>36775.695684000049</v>
      </c>
      <c r="H99" s="72" t="s">
        <v>71</v>
      </c>
      <c r="I99" s="40">
        <v>975.7600000000001</v>
      </c>
      <c r="J99" s="40">
        <v>12824.16</v>
      </c>
      <c r="K99" s="40">
        <v>8923.8177599999981</v>
      </c>
      <c r="L99" s="40">
        <f t="shared" si="18"/>
        <v>552830.51023199991</v>
      </c>
    </row>
    <row r="100" spans="1:12" s="290" customFormat="1" x14ac:dyDescent="0.3">
      <c r="A100" s="72" t="s">
        <v>72</v>
      </c>
      <c r="B100" s="385">
        <f>IF($E100="N",0,Base!B96-Option5!I100)</f>
        <v>92.769999999999641</v>
      </c>
      <c r="C100" s="385">
        <f>IF($E100="N",0,Base!C96-Option5!J100)</f>
        <v>460.09000000000015</v>
      </c>
      <c r="D100" s="385">
        <f>IF($E100="N",0,Base!D96-Option5!K100)</f>
        <v>352.03599999999824</v>
      </c>
      <c r="E100" s="281" t="str">
        <f t="shared" si="19"/>
        <v>Y</v>
      </c>
      <c r="F100" s="52">
        <f t="shared" si="20"/>
        <v>21808.63019999989</v>
      </c>
      <c r="H100" s="72" t="s">
        <v>72</v>
      </c>
      <c r="I100" s="40">
        <v>978.92000000000019</v>
      </c>
      <c r="J100" s="40">
        <v>14378.130000000001</v>
      </c>
      <c r="K100" s="40">
        <v>9409.5808799999995</v>
      </c>
      <c r="L100" s="40">
        <f t="shared" si="18"/>
        <v>582923.535516</v>
      </c>
    </row>
    <row r="101" spans="1:12" s="290" customFormat="1" x14ac:dyDescent="0.3">
      <c r="A101" s="72" t="s">
        <v>73</v>
      </c>
      <c r="B101" s="385">
        <f>IF($E101="N",0,Base!B97-Option5!I101)</f>
        <v>105.36999999999989</v>
      </c>
      <c r="C101" s="385">
        <f>IF($E101="N",0,Base!C97-Option5!J101)</f>
        <v>381.83999999999651</v>
      </c>
      <c r="D101" s="385">
        <f>IF($E101="N",0,Base!D97-Option5!K101)</f>
        <v>340.11479999999938</v>
      </c>
      <c r="E101" s="281" t="str">
        <f t="shared" si="19"/>
        <v>Y</v>
      </c>
      <c r="F101" s="52">
        <f t="shared" si="20"/>
        <v>21070.111859999961</v>
      </c>
      <c r="H101" s="72" t="s">
        <v>73</v>
      </c>
      <c r="I101" s="40">
        <v>1077.3499999999999</v>
      </c>
      <c r="J101" s="40">
        <v>16828.050000000003</v>
      </c>
      <c r="K101" s="40">
        <v>10357.922640000001</v>
      </c>
      <c r="L101" s="40">
        <f t="shared" si="18"/>
        <v>641673.30754800013</v>
      </c>
    </row>
    <row r="102" spans="1:12" s="290" customFormat="1" ht="15" thickBot="1" x14ac:dyDescent="0.35">
      <c r="E102" s="60">
        <f>SUM(COUNTIF(E92:E101,{"Y","Y1","Y2"}))</f>
        <v>4</v>
      </c>
      <c r="F102" s="62">
        <f>-PV($G$6,$G$7-E102,F101)</f>
        <v>203885.10928058933</v>
      </c>
      <c r="G102" s="55" t="s">
        <v>11</v>
      </c>
    </row>
    <row r="103" spans="1:12" ht="15" thickTop="1" x14ac:dyDescent="0.3"/>
    <row r="104" spans="1:12" x14ac:dyDescent="0.3">
      <c r="A104" s="363" t="s">
        <v>121</v>
      </c>
      <c r="B104" s="357"/>
      <c r="C104" s="357"/>
      <c r="D104" s="357"/>
      <c r="E104" s="357"/>
    </row>
    <row r="105" spans="1:12" x14ac:dyDescent="0.3">
      <c r="A105" s="408" t="s">
        <v>5</v>
      </c>
      <c r="B105" s="72" t="s">
        <v>3</v>
      </c>
      <c r="C105" s="344">
        <f>NPV_Summary!$F$35*Option1a!$G$5+Option1a!$G$5</f>
        <v>74.34</v>
      </c>
      <c r="D105" s="26">
        <f>NPV_Summary!$G$35*Option1a!$G$5+Option1a!$G$5</f>
        <v>49.56</v>
      </c>
      <c r="E105" s="357"/>
    </row>
    <row r="106" spans="1:12" ht="43.2" x14ac:dyDescent="0.3">
      <c r="A106" s="408"/>
      <c r="B106" s="51" t="s">
        <v>12</v>
      </c>
      <c r="C106" s="50" t="s">
        <v>25</v>
      </c>
      <c r="D106" s="50" t="s">
        <v>25</v>
      </c>
      <c r="E106" s="357"/>
    </row>
    <row r="107" spans="1:12" x14ac:dyDescent="0.3">
      <c r="A107" s="362" t="s">
        <v>64</v>
      </c>
      <c r="B107" s="3" t="str">
        <f>H17</f>
        <v>N</v>
      </c>
      <c r="C107" s="5">
        <f>IF(OR(B107="Y",B107="Y1",B107="Y2"),D17*$C$105/1000,0)</f>
        <v>0</v>
      </c>
      <c r="D107" s="5">
        <f>IF(OR(B107="Y",B107="Y1",B107="Y2"),D17*$D$105/1000,0)</f>
        <v>0</v>
      </c>
      <c r="E107" s="357"/>
    </row>
    <row r="108" spans="1:12" x14ac:dyDescent="0.3">
      <c r="A108" s="362" t="s">
        <v>65</v>
      </c>
      <c r="B108" s="3" t="str">
        <f t="shared" ref="B108:B116" si="21">H18</f>
        <v>N</v>
      </c>
      <c r="C108" s="5">
        <f t="shared" ref="C108:C116" si="22">IF(OR(B108="Y",B108="Y1",B108="Y2"),D18*$C$105/1000,0)</f>
        <v>0</v>
      </c>
      <c r="D108" s="5">
        <f t="shared" ref="D108:D116" si="23">IF(OR(B108="Y",B108="Y1",B108="Y2"),D18*$D$105/1000,0)</f>
        <v>0</v>
      </c>
      <c r="E108" s="357"/>
    </row>
    <row r="109" spans="1:12" x14ac:dyDescent="0.3">
      <c r="A109" s="362" t="s">
        <v>66</v>
      </c>
      <c r="B109" s="3" t="str">
        <f t="shared" si="21"/>
        <v>N</v>
      </c>
      <c r="C109" s="5">
        <f t="shared" si="22"/>
        <v>0</v>
      </c>
      <c r="D109" s="5">
        <f t="shared" si="23"/>
        <v>0</v>
      </c>
      <c r="E109" s="357"/>
    </row>
    <row r="110" spans="1:12" x14ac:dyDescent="0.3">
      <c r="A110" s="362" t="s">
        <v>67</v>
      </c>
      <c r="B110" s="3" t="str">
        <f t="shared" si="21"/>
        <v>N</v>
      </c>
      <c r="C110" s="5">
        <f t="shared" si="22"/>
        <v>0</v>
      </c>
      <c r="D110" s="5">
        <f t="shared" si="23"/>
        <v>0</v>
      </c>
      <c r="E110" s="357"/>
    </row>
    <row r="111" spans="1:12" x14ac:dyDescent="0.3">
      <c r="A111" s="362" t="s">
        <v>68</v>
      </c>
      <c r="B111" s="3" t="str">
        <f t="shared" si="21"/>
        <v>N</v>
      </c>
      <c r="C111" s="5">
        <f t="shared" si="22"/>
        <v>0</v>
      </c>
      <c r="D111" s="5">
        <f t="shared" si="23"/>
        <v>0</v>
      </c>
      <c r="E111" s="357"/>
    </row>
    <row r="112" spans="1:12" x14ac:dyDescent="0.3">
      <c r="A112" s="362" t="s">
        <v>69</v>
      </c>
      <c r="B112" s="3" t="str">
        <f t="shared" si="21"/>
        <v>N</v>
      </c>
      <c r="C112" s="5">
        <f t="shared" si="22"/>
        <v>0</v>
      </c>
      <c r="D112" s="5">
        <f t="shared" si="23"/>
        <v>0</v>
      </c>
      <c r="E112" s="357"/>
    </row>
    <row r="113" spans="1:5" x14ac:dyDescent="0.3">
      <c r="A113" s="362" t="s">
        <v>70</v>
      </c>
      <c r="B113" s="3" t="str">
        <f t="shared" si="21"/>
        <v>Y</v>
      </c>
      <c r="C113" s="5">
        <f t="shared" si="22"/>
        <v>70.968658400639981</v>
      </c>
      <c r="D113" s="5">
        <f t="shared" si="23"/>
        <v>47.312438933759985</v>
      </c>
      <c r="E113" s="357"/>
    </row>
    <row r="114" spans="1:5" x14ac:dyDescent="0.3">
      <c r="A114" s="362" t="s">
        <v>71</v>
      </c>
      <c r="B114" s="3" t="str">
        <f t="shared" si="21"/>
        <v>Y</v>
      </c>
      <c r="C114" s="5">
        <f t="shared" si="22"/>
        <v>78.730672648320009</v>
      </c>
      <c r="D114" s="5">
        <f t="shared" si="23"/>
        <v>52.487115098879997</v>
      </c>
      <c r="E114" s="357"/>
    </row>
    <row r="115" spans="1:5" x14ac:dyDescent="0.3">
      <c r="A115" s="362" t="s">
        <v>72</v>
      </c>
      <c r="B115" s="3" t="str">
        <f t="shared" si="21"/>
        <v>Y</v>
      </c>
      <c r="C115" s="5">
        <f t="shared" si="22"/>
        <v>72.355920114240007</v>
      </c>
      <c r="D115" s="5">
        <f t="shared" si="23"/>
        <v>48.237280076160012</v>
      </c>
      <c r="E115" s="357"/>
    </row>
    <row r="116" spans="1:5" x14ac:dyDescent="0.3">
      <c r="A116" s="362" t="s">
        <v>73</v>
      </c>
      <c r="B116" s="3" t="str">
        <f t="shared" si="21"/>
        <v>Y</v>
      </c>
      <c r="C116" s="5">
        <f t="shared" si="22"/>
        <v>86.610372468480165</v>
      </c>
      <c r="D116" s="5">
        <f t="shared" si="23"/>
        <v>57.740248312320119</v>
      </c>
      <c r="E116" s="357"/>
    </row>
    <row r="117" spans="1:5" x14ac:dyDescent="0.3">
      <c r="A117" s="357"/>
      <c r="B117" s="39">
        <f>SUM(COUNTIF(B107:B116,{"Y","Y1","Y2"}))</f>
        <v>4</v>
      </c>
      <c r="C117" s="47">
        <f>-PV($G$6,$G$7-B117,C116)</f>
        <v>838.08597566546825</v>
      </c>
      <c r="D117" s="47">
        <f>-PV($G$6,$G$7-B117,D116)</f>
        <v>558.72398377697891</v>
      </c>
      <c r="E117" s="357" t="s">
        <v>11</v>
      </c>
    </row>
    <row r="118" spans="1:5" ht="15" thickBot="1" x14ac:dyDescent="0.35">
      <c r="A118" s="357"/>
      <c r="B118" s="357"/>
      <c r="C118" s="13">
        <f>NPV($G$6,C107:C115,C116+C117)</f>
        <v>460.34302821618468</v>
      </c>
      <c r="D118" s="13">
        <f>NPV($G$6,D107:D115,D116+D117)</f>
        <v>306.89535214412314</v>
      </c>
      <c r="E118" s="357" t="s">
        <v>23</v>
      </c>
    </row>
    <row r="119" spans="1:5" ht="15" thickTop="1" x14ac:dyDescent="0.3"/>
  </sheetData>
  <mergeCells count="12">
    <mergeCell ref="A105:A106"/>
    <mergeCell ref="A15:I15"/>
    <mergeCell ref="A34:F34"/>
    <mergeCell ref="H34:L34"/>
    <mergeCell ref="A48:F48"/>
    <mergeCell ref="H48:L48"/>
    <mergeCell ref="A62:F62"/>
    <mergeCell ref="H62:L62"/>
    <mergeCell ref="A76:F76"/>
    <mergeCell ref="H76:L76"/>
    <mergeCell ref="A90:F90"/>
    <mergeCell ref="H90:L90"/>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zoomScale="70" zoomScaleNormal="70" workbookViewId="0">
      <selection activeCell="L26" sqref="L26"/>
    </sheetView>
  </sheetViews>
  <sheetFormatPr defaultRowHeight="14.4" x14ac:dyDescent="0.3"/>
  <cols>
    <col min="1" max="1" width="38.77734375" style="300" customWidth="1"/>
    <col min="2" max="12" width="15.77734375" style="300" customWidth="1"/>
    <col min="13" max="17" width="10.77734375" style="300" customWidth="1"/>
    <col min="18" max="16384" width="8.88671875" style="300"/>
  </cols>
  <sheetData>
    <row r="1" spans="1:18" x14ac:dyDescent="0.3">
      <c r="A1" s="306" t="s">
        <v>100</v>
      </c>
    </row>
    <row r="2" spans="1:18" x14ac:dyDescent="0.3">
      <c r="A2" s="306" t="s">
        <v>101</v>
      </c>
    </row>
    <row r="3" spans="1:18" x14ac:dyDescent="0.3">
      <c r="A3" s="306" t="s">
        <v>102</v>
      </c>
    </row>
    <row r="5" spans="1:18" x14ac:dyDescent="0.3">
      <c r="A5" s="68" t="s">
        <v>31</v>
      </c>
      <c r="B5" s="69" t="s">
        <v>33</v>
      </c>
      <c r="C5" s="69" t="s">
        <v>34</v>
      </c>
      <c r="D5" s="69" t="s">
        <v>35</v>
      </c>
      <c r="F5" s="65" t="s">
        <v>3</v>
      </c>
      <c r="G5" s="307">
        <v>61.95</v>
      </c>
    </row>
    <row r="6" spans="1:18" x14ac:dyDescent="0.3">
      <c r="A6" s="312" t="s">
        <v>4</v>
      </c>
      <c r="B6" s="313">
        <v>48.4</v>
      </c>
      <c r="C6" s="313">
        <v>171.8</v>
      </c>
      <c r="D6" s="318"/>
      <c r="F6" s="66" t="s">
        <v>2</v>
      </c>
      <c r="G6" s="308">
        <v>0.1</v>
      </c>
    </row>
    <row r="7" spans="1:18" x14ac:dyDescent="0.3">
      <c r="A7" s="312" t="s">
        <v>36</v>
      </c>
      <c r="B7" s="314">
        <v>0.02</v>
      </c>
      <c r="C7" s="314">
        <v>0.02</v>
      </c>
      <c r="D7" s="31"/>
      <c r="F7" s="66" t="s">
        <v>1</v>
      </c>
      <c r="G7" s="309">
        <v>40</v>
      </c>
    </row>
    <row r="8" spans="1:18" x14ac:dyDescent="0.3">
      <c r="A8" s="312" t="s">
        <v>30</v>
      </c>
      <c r="B8" s="315">
        <f>-PV($G$6,$G$7,B6*B7)</f>
        <v>9.4661210954868977</v>
      </c>
      <c r="C8" s="32">
        <f>-PV($G$6,$G$7,C6*C7)</f>
        <v>33.6008182686911</v>
      </c>
      <c r="D8" s="32">
        <f>-PV($G$6,$G$7,D6*D7)</f>
        <v>0</v>
      </c>
      <c r="F8" s="66" t="s">
        <v>6</v>
      </c>
      <c r="G8" s="308">
        <v>0.2</v>
      </c>
    </row>
    <row r="9" spans="1:18" x14ac:dyDescent="0.3">
      <c r="A9" s="312" t="s">
        <v>32</v>
      </c>
      <c r="B9" s="315">
        <f>B6+B8</f>
        <v>57.866121095486896</v>
      </c>
      <c r="C9" s="32">
        <f>C6+C8</f>
        <v>205.40081826869113</v>
      </c>
      <c r="D9" s="32">
        <f>D6+D8</f>
        <v>0</v>
      </c>
      <c r="F9" s="66" t="s">
        <v>7</v>
      </c>
      <c r="G9" s="308">
        <v>0.2</v>
      </c>
    </row>
    <row r="10" spans="1:18" x14ac:dyDescent="0.3">
      <c r="A10" s="312" t="s">
        <v>15</v>
      </c>
      <c r="B10" s="315">
        <f>-PMT($G$6,$G$7,B9)</f>
        <v>5.9173556576554835</v>
      </c>
      <c r="C10" s="32">
        <f>-PMT($G$6,$G$7,C9)</f>
        <v>21.004167396388681</v>
      </c>
      <c r="D10" s="32">
        <f>-PMT($G$6,$G$7,D9)</f>
        <v>0</v>
      </c>
      <c r="F10" s="66" t="s">
        <v>8</v>
      </c>
      <c r="G10" s="308">
        <v>0.2</v>
      </c>
    </row>
    <row r="11" spans="1:18" x14ac:dyDescent="0.3">
      <c r="B11" s="311"/>
      <c r="C11" s="311"/>
      <c r="D11" s="311"/>
      <c r="F11" s="66" t="s">
        <v>9</v>
      </c>
      <c r="G11" s="308">
        <v>0.2</v>
      </c>
    </row>
    <row r="12" spans="1:18" x14ac:dyDescent="0.3">
      <c r="A12" s="304" t="s">
        <v>28</v>
      </c>
      <c r="B12" s="316">
        <f>SUM(B9:D9)</f>
        <v>263.26693936417803</v>
      </c>
      <c r="C12" s="311"/>
      <c r="D12" s="311"/>
      <c r="F12" s="67" t="s">
        <v>10</v>
      </c>
      <c r="G12" s="310">
        <v>0.2</v>
      </c>
    </row>
    <row r="13" spans="1:18" x14ac:dyDescent="0.3">
      <c r="A13" s="305" t="s">
        <v>29</v>
      </c>
      <c r="B13" s="317">
        <f>-PMT($G$6,$G$7,B12)</f>
        <v>26.921523054044169</v>
      </c>
      <c r="C13" s="311"/>
      <c r="D13" s="311"/>
    </row>
    <row r="15" spans="1:18" ht="15.6" x14ac:dyDescent="0.3">
      <c r="A15" s="397" t="s">
        <v>57</v>
      </c>
      <c r="B15" s="397"/>
      <c r="C15" s="397"/>
      <c r="D15" s="397"/>
      <c r="E15" s="397"/>
      <c r="F15" s="397"/>
      <c r="G15" s="397"/>
      <c r="H15" s="397"/>
      <c r="I15" s="397"/>
      <c r="M15" s="380"/>
      <c r="N15" s="380"/>
      <c r="O15" s="380"/>
      <c r="P15" s="380"/>
      <c r="Q15" s="380"/>
      <c r="R15" s="319"/>
    </row>
    <row r="16" spans="1:18" s="311" customFormat="1" ht="57.6" x14ac:dyDescent="0.3">
      <c r="A16" s="40" t="s">
        <v>5</v>
      </c>
      <c r="B16" s="51" t="s">
        <v>151</v>
      </c>
      <c r="C16" s="51" t="s">
        <v>152</v>
      </c>
      <c r="D16" s="51" t="s">
        <v>153</v>
      </c>
      <c r="E16" s="50" t="s">
        <v>25</v>
      </c>
      <c r="F16" s="50" t="s">
        <v>15</v>
      </c>
      <c r="G16" s="51" t="s">
        <v>155</v>
      </c>
      <c r="H16" s="50" t="s">
        <v>12</v>
      </c>
      <c r="I16" s="50" t="s">
        <v>24</v>
      </c>
      <c r="J16" s="35"/>
      <c r="K16" s="35"/>
      <c r="M16" s="36"/>
      <c r="N16" s="37"/>
      <c r="O16" s="37"/>
      <c r="P16" s="37"/>
      <c r="Q16" s="38"/>
      <c r="R16" s="39"/>
    </row>
    <row r="17" spans="1:18" s="311" customFormat="1" x14ac:dyDescent="0.3">
      <c r="A17" s="72" t="s">
        <v>64</v>
      </c>
      <c r="B17" s="40">
        <f>MAX(B36,B50,B64,B78,B92)</f>
        <v>0</v>
      </c>
      <c r="C17" s="40">
        <f>MAX(C36,C50,C64,C78,C92)</f>
        <v>0</v>
      </c>
      <c r="D17" s="40">
        <f t="shared" ref="D17:D26" si="0">$G$8*D36+$G$9*D50+$G$10*D64+$G$11*D78+$G$12*D92</f>
        <v>0</v>
      </c>
      <c r="E17" s="41">
        <f t="shared" ref="E17:E26" si="1">D17*$G$5/1000</f>
        <v>0</v>
      </c>
      <c r="F17" s="41">
        <f>IF($H17="Y1",$B$10,IF($H17="Y2",$B$10+$C$10,IF($H17="Y",$B$13,IF($H17="N",0))))</f>
        <v>0</v>
      </c>
      <c r="G17" s="41">
        <f>E17-F17</f>
        <v>0</v>
      </c>
      <c r="H17" s="42" t="s">
        <v>14</v>
      </c>
      <c r="I17" s="41">
        <f>IF(OR(H17="Y",H17="Y1",H17="Y2"),E17,0)</f>
        <v>0</v>
      </c>
      <c r="J17" s="43"/>
      <c r="K17" s="43"/>
      <c r="M17" s="44"/>
      <c r="N17" s="45"/>
      <c r="O17" s="45"/>
      <c r="P17" s="45"/>
      <c r="Q17" s="33"/>
      <c r="R17" s="39"/>
    </row>
    <row r="18" spans="1:18" s="311" customFormat="1" x14ac:dyDescent="0.3">
      <c r="A18" s="72" t="s">
        <v>65</v>
      </c>
      <c r="B18" s="40">
        <f t="shared" ref="B18:C26" si="2">MAX(B37,B51,B65,B79,B93)</f>
        <v>0</v>
      </c>
      <c r="C18" s="40">
        <f t="shared" si="2"/>
        <v>0</v>
      </c>
      <c r="D18" s="40">
        <f t="shared" si="0"/>
        <v>0</v>
      </c>
      <c r="E18" s="41">
        <f t="shared" si="1"/>
        <v>0</v>
      </c>
      <c r="F18" s="41">
        <f t="shared" ref="F18:F26" si="3">IF($H18="Y1",$B$10,IF($H18="Y2",$B$10+$C$10,IF($H18="Y",$B$13,IF($H18="N",0))))</f>
        <v>0</v>
      </c>
      <c r="G18" s="41">
        <f t="shared" ref="G18:G26" si="4">E18-F18</f>
        <v>0</v>
      </c>
      <c r="H18" s="42" t="s">
        <v>14</v>
      </c>
      <c r="I18" s="41">
        <f t="shared" ref="I18:I26" si="5">IF(OR(H18="Y",H18="Y1",H18="Y2"),E18,0)</f>
        <v>0</v>
      </c>
      <c r="J18" s="43"/>
      <c r="K18" s="43"/>
      <c r="M18" s="44"/>
      <c r="N18" s="45"/>
      <c r="O18" s="45"/>
      <c r="P18" s="45"/>
      <c r="Q18" s="33"/>
      <c r="R18" s="39"/>
    </row>
    <row r="19" spans="1:18" s="311" customFormat="1" x14ac:dyDescent="0.3">
      <c r="A19" s="72" t="s">
        <v>66</v>
      </c>
      <c r="B19" s="40">
        <f t="shared" si="2"/>
        <v>0</v>
      </c>
      <c r="C19" s="40">
        <f t="shared" si="2"/>
        <v>0</v>
      </c>
      <c r="D19" s="40">
        <f t="shared" si="0"/>
        <v>0</v>
      </c>
      <c r="E19" s="41">
        <f t="shared" si="1"/>
        <v>0</v>
      </c>
      <c r="F19" s="41">
        <f t="shared" si="3"/>
        <v>0</v>
      </c>
      <c r="G19" s="41">
        <f t="shared" si="4"/>
        <v>0</v>
      </c>
      <c r="H19" s="42" t="s">
        <v>14</v>
      </c>
      <c r="I19" s="41">
        <f t="shared" si="5"/>
        <v>0</v>
      </c>
      <c r="J19" s="43"/>
      <c r="K19" s="43"/>
      <c r="M19" s="44"/>
      <c r="N19" s="45"/>
      <c r="O19" s="45"/>
      <c r="P19" s="45"/>
      <c r="Q19" s="33"/>
      <c r="R19" s="39"/>
    </row>
    <row r="20" spans="1:18" s="311" customFormat="1" x14ac:dyDescent="0.3">
      <c r="A20" s="72" t="s">
        <v>67</v>
      </c>
      <c r="B20" s="40">
        <f t="shared" si="2"/>
        <v>0</v>
      </c>
      <c r="C20" s="40">
        <f t="shared" si="2"/>
        <v>0</v>
      </c>
      <c r="D20" s="40">
        <f t="shared" si="0"/>
        <v>0</v>
      </c>
      <c r="E20" s="41">
        <f t="shared" si="1"/>
        <v>0</v>
      </c>
      <c r="F20" s="41">
        <f t="shared" si="3"/>
        <v>0</v>
      </c>
      <c r="G20" s="41">
        <f t="shared" si="4"/>
        <v>0</v>
      </c>
      <c r="H20" s="42" t="s">
        <v>14</v>
      </c>
      <c r="I20" s="41">
        <f t="shared" si="5"/>
        <v>0</v>
      </c>
      <c r="J20" s="43"/>
      <c r="K20" s="43"/>
      <c r="M20" s="44"/>
      <c r="N20" s="45"/>
      <c r="O20" s="45"/>
      <c r="P20" s="45"/>
      <c r="Q20" s="33"/>
      <c r="R20" s="39"/>
    </row>
    <row r="21" spans="1:18" s="311" customFormat="1" x14ac:dyDescent="0.3">
      <c r="A21" s="72" t="s">
        <v>68</v>
      </c>
      <c r="B21" s="40">
        <f t="shared" si="2"/>
        <v>0</v>
      </c>
      <c r="C21" s="40">
        <f t="shared" si="2"/>
        <v>0</v>
      </c>
      <c r="D21" s="40">
        <f t="shared" si="0"/>
        <v>0</v>
      </c>
      <c r="E21" s="41">
        <f t="shared" si="1"/>
        <v>0</v>
      </c>
      <c r="F21" s="41">
        <f t="shared" si="3"/>
        <v>0</v>
      </c>
      <c r="G21" s="41">
        <f t="shared" si="4"/>
        <v>0</v>
      </c>
      <c r="H21" s="42" t="s">
        <v>14</v>
      </c>
      <c r="I21" s="41">
        <f t="shared" si="5"/>
        <v>0</v>
      </c>
      <c r="J21" s="43"/>
      <c r="K21" s="43"/>
      <c r="M21" s="44"/>
      <c r="N21" s="45"/>
      <c r="O21" s="45"/>
      <c r="P21" s="45"/>
      <c r="Q21" s="33"/>
      <c r="R21" s="39"/>
    </row>
    <row r="22" spans="1:18" s="311" customFormat="1" x14ac:dyDescent="0.3">
      <c r="A22" s="72" t="s">
        <v>69</v>
      </c>
      <c r="B22" s="40">
        <f t="shared" si="2"/>
        <v>0</v>
      </c>
      <c r="C22" s="40">
        <f t="shared" si="2"/>
        <v>0</v>
      </c>
      <c r="D22" s="40">
        <f t="shared" si="0"/>
        <v>0</v>
      </c>
      <c r="E22" s="41">
        <f t="shared" si="1"/>
        <v>0</v>
      </c>
      <c r="F22" s="41">
        <f t="shared" si="3"/>
        <v>0</v>
      </c>
      <c r="G22" s="41">
        <f t="shared" si="4"/>
        <v>0</v>
      </c>
      <c r="H22" s="42" t="s">
        <v>14</v>
      </c>
      <c r="I22" s="41">
        <f t="shared" si="5"/>
        <v>0</v>
      </c>
      <c r="J22" s="43"/>
      <c r="K22" s="43"/>
      <c r="M22" s="44"/>
      <c r="N22" s="45"/>
      <c r="O22" s="45"/>
      <c r="P22" s="45"/>
      <c r="Q22" s="33"/>
      <c r="R22" s="39"/>
    </row>
    <row r="23" spans="1:18" s="311" customFormat="1" x14ac:dyDescent="0.3">
      <c r="A23" s="72" t="s">
        <v>70</v>
      </c>
      <c r="B23" s="40">
        <f t="shared" si="2"/>
        <v>163.60000000000014</v>
      </c>
      <c r="C23" s="40">
        <f t="shared" si="2"/>
        <v>1127.8100000000013</v>
      </c>
      <c r="D23" s="40">
        <f t="shared" si="0"/>
        <v>250.0427199999998</v>
      </c>
      <c r="E23" s="41">
        <f t="shared" si="1"/>
        <v>15.490146503999989</v>
      </c>
      <c r="F23" s="41">
        <f t="shared" si="3"/>
        <v>5.9173556576554835</v>
      </c>
      <c r="G23" s="41">
        <f t="shared" si="4"/>
        <v>9.5727908463445068</v>
      </c>
      <c r="H23" s="42" t="s">
        <v>49</v>
      </c>
      <c r="I23" s="41">
        <f t="shared" si="5"/>
        <v>15.490146503999989</v>
      </c>
      <c r="J23" s="43"/>
      <c r="K23" s="43"/>
      <c r="M23" s="44"/>
      <c r="N23" s="45"/>
      <c r="O23" s="45"/>
      <c r="P23" s="45"/>
      <c r="Q23" s="33"/>
      <c r="R23" s="39"/>
    </row>
    <row r="24" spans="1:18" s="311" customFormat="1" x14ac:dyDescent="0.3">
      <c r="A24" s="72" t="s">
        <v>71</v>
      </c>
      <c r="B24" s="40">
        <f t="shared" si="2"/>
        <v>274.45000000000005</v>
      </c>
      <c r="C24" s="40">
        <f t="shared" si="2"/>
        <v>2675.9699999999975</v>
      </c>
      <c r="D24" s="40">
        <f t="shared" si="0"/>
        <v>965.80519999999967</v>
      </c>
      <c r="E24" s="41">
        <f t="shared" si="1"/>
        <v>59.831632139999982</v>
      </c>
      <c r="F24" s="41">
        <f t="shared" si="3"/>
        <v>26.921523054044169</v>
      </c>
      <c r="G24" s="41">
        <f t="shared" si="4"/>
        <v>32.91010908595581</v>
      </c>
      <c r="H24" s="46" t="s">
        <v>13</v>
      </c>
      <c r="I24" s="41">
        <f t="shared" si="5"/>
        <v>59.831632139999982</v>
      </c>
      <c r="J24" s="43"/>
      <c r="K24" s="43"/>
      <c r="M24" s="44"/>
      <c r="N24" s="45"/>
      <c r="O24" s="45"/>
      <c r="P24" s="45"/>
      <c r="Q24" s="33"/>
      <c r="R24" s="39"/>
    </row>
    <row r="25" spans="1:18" s="311" customFormat="1" x14ac:dyDescent="0.3">
      <c r="A25" s="72" t="s">
        <v>72</v>
      </c>
      <c r="B25" s="40">
        <f t="shared" si="2"/>
        <v>173.17000000000007</v>
      </c>
      <c r="C25" s="40">
        <f t="shared" si="2"/>
        <v>3449.350000000004</v>
      </c>
      <c r="D25" s="40">
        <f t="shared" si="0"/>
        <v>941.9347039999991</v>
      </c>
      <c r="E25" s="41">
        <f t="shared" si="1"/>
        <v>58.352854912799948</v>
      </c>
      <c r="F25" s="41">
        <f t="shared" si="3"/>
        <v>26.921523054044169</v>
      </c>
      <c r="G25" s="41">
        <f t="shared" si="4"/>
        <v>31.43133185875578</v>
      </c>
      <c r="H25" s="46" t="s">
        <v>13</v>
      </c>
      <c r="I25" s="41">
        <f t="shared" si="5"/>
        <v>58.352854912799948</v>
      </c>
      <c r="J25" s="43"/>
      <c r="K25" s="43"/>
      <c r="M25" s="44"/>
      <c r="N25" s="45"/>
      <c r="O25" s="45"/>
      <c r="P25" s="45"/>
      <c r="Q25" s="33"/>
      <c r="R25" s="39"/>
    </row>
    <row r="26" spans="1:18" s="311" customFormat="1" x14ac:dyDescent="0.3">
      <c r="A26" s="72" t="s">
        <v>73</v>
      </c>
      <c r="B26" s="40">
        <f t="shared" si="2"/>
        <v>136.79000000000019</v>
      </c>
      <c r="C26" s="40">
        <f t="shared" si="2"/>
        <v>3983.5400000000045</v>
      </c>
      <c r="D26" s="40">
        <f t="shared" si="0"/>
        <v>1064.265360000001</v>
      </c>
      <c r="E26" s="41">
        <f t="shared" si="1"/>
        <v>65.931239052000066</v>
      </c>
      <c r="F26" s="41">
        <f t="shared" si="3"/>
        <v>26.921523054044169</v>
      </c>
      <c r="G26" s="41">
        <f t="shared" si="4"/>
        <v>39.009715997955894</v>
      </c>
      <c r="H26" s="46" t="s">
        <v>13</v>
      </c>
      <c r="I26" s="41">
        <f t="shared" si="5"/>
        <v>65.931239052000066</v>
      </c>
      <c r="J26" s="43"/>
      <c r="K26" s="43"/>
      <c r="M26" s="44"/>
      <c r="N26" s="45"/>
      <c r="O26" s="45"/>
      <c r="P26" s="45"/>
      <c r="Q26" s="33"/>
      <c r="R26" s="39"/>
    </row>
    <row r="27" spans="1:18" s="311" customFormat="1" x14ac:dyDescent="0.3">
      <c r="G27" s="57"/>
      <c r="H27" s="39">
        <f>SUM(COUNTIF(H17:H26,{"Y","Y1","Y2"}))</f>
        <v>4</v>
      </c>
      <c r="I27" s="47">
        <f>-PV($G$6,$G$7-H27,I26)</f>
        <v>637.98417248278031</v>
      </c>
      <c r="J27" s="56" t="s">
        <v>11</v>
      </c>
      <c r="K27" s="47"/>
      <c r="L27" s="39"/>
      <c r="M27" s="39"/>
      <c r="Q27" s="45"/>
    </row>
    <row r="28" spans="1:18" s="351" customFormat="1" ht="15" thickBot="1" x14ac:dyDescent="0.35">
      <c r="G28" s="57"/>
      <c r="H28" s="39"/>
      <c r="I28" s="61">
        <f>NPV($G$6,I17:I25,I26+I27)</f>
        <v>331.99796243142958</v>
      </c>
      <c r="J28" s="56" t="s">
        <v>23</v>
      </c>
      <c r="K28" s="47"/>
      <c r="L28" s="39"/>
      <c r="M28" s="39"/>
      <c r="Q28" s="45"/>
    </row>
    <row r="29" spans="1:18" s="311" customFormat="1" ht="15" thickTop="1" x14ac:dyDescent="0.3">
      <c r="I29" s="47"/>
      <c r="J29" s="39"/>
      <c r="K29" s="47"/>
      <c r="L29" s="39"/>
      <c r="M29" s="39"/>
    </row>
    <row r="30" spans="1:18" s="311" customFormat="1" ht="43.2" x14ac:dyDescent="0.3">
      <c r="A30" s="34"/>
      <c r="B30" s="63" t="s">
        <v>16</v>
      </c>
      <c r="C30" s="63" t="s">
        <v>17</v>
      </c>
      <c r="D30" s="63" t="s">
        <v>18</v>
      </c>
      <c r="E30" s="63" t="s">
        <v>19</v>
      </c>
      <c r="F30" s="63" t="s">
        <v>20</v>
      </c>
      <c r="G30" s="63" t="s">
        <v>21</v>
      </c>
      <c r="H30" s="64" t="s">
        <v>28</v>
      </c>
      <c r="I30" s="64" t="s">
        <v>37</v>
      </c>
      <c r="K30" s="39"/>
      <c r="L30" s="39"/>
      <c r="M30" s="39"/>
    </row>
    <row r="31" spans="1:18" s="311" customFormat="1" x14ac:dyDescent="0.3">
      <c r="A31" s="303" t="s">
        <v>22</v>
      </c>
      <c r="B31" s="48">
        <f>NPV($G$6,F36:F44,F45+F46)/1000</f>
        <v>210.16353619561843</v>
      </c>
      <c r="C31" s="48">
        <f>NPV($G$6,F50:F58,F59+F60)/1000</f>
        <v>630.49205692059786</v>
      </c>
      <c r="D31" s="48">
        <f>NPV($G$6,F64:F72,F73+F74)/1000</f>
        <v>218.28709877871458</v>
      </c>
      <c r="E31" s="48">
        <f>NPV($G$6,F78:F86,F87+F88)/1000</f>
        <v>459.23310784731177</v>
      </c>
      <c r="F31" s="48">
        <f>NPV($G$6,F92:F100,F101+F102)/1000</f>
        <v>141.81401241490511</v>
      </c>
      <c r="G31" s="49">
        <f>B31*G8+C31*G9+D31*G10+E31*G11+F31*G12</f>
        <v>331.99796243142953</v>
      </c>
      <c r="H31" s="315">
        <f>B12</f>
        <v>263.26693936417803</v>
      </c>
      <c r="I31" s="48">
        <f>G31-H31</f>
        <v>68.731023067251499</v>
      </c>
    </row>
    <row r="32" spans="1:18" s="311" customFormat="1" x14ac:dyDescent="0.3">
      <c r="I32" s="320"/>
    </row>
    <row r="33" spans="1:14" s="311" customFormat="1" x14ac:dyDescent="0.3"/>
    <row r="34" spans="1:14" s="311" customFormat="1" ht="15.6" x14ac:dyDescent="0.3">
      <c r="A34" s="409" t="s">
        <v>52</v>
      </c>
      <c r="B34" s="410"/>
      <c r="C34" s="410"/>
      <c r="D34" s="410"/>
      <c r="E34" s="410"/>
      <c r="F34" s="411"/>
      <c r="H34" s="406" t="s">
        <v>59</v>
      </c>
      <c r="I34" s="406"/>
      <c r="J34" s="406"/>
      <c r="K34" s="406"/>
      <c r="L34" s="406"/>
    </row>
    <row r="35" spans="1:14" s="311" customFormat="1" ht="57.6" x14ac:dyDescent="0.3">
      <c r="A35" s="301" t="s">
        <v>5</v>
      </c>
      <c r="B35" s="51" t="s">
        <v>151</v>
      </c>
      <c r="C35" s="51" t="s">
        <v>152</v>
      </c>
      <c r="D35" s="51" t="s">
        <v>153</v>
      </c>
      <c r="E35" s="51" t="s">
        <v>12</v>
      </c>
      <c r="F35" s="51" t="s">
        <v>134</v>
      </c>
      <c r="H35" s="301" t="s">
        <v>5</v>
      </c>
      <c r="I35" s="51" t="s">
        <v>75</v>
      </c>
      <c r="J35" s="51" t="s">
        <v>51</v>
      </c>
      <c r="K35" s="50" t="s">
        <v>0</v>
      </c>
      <c r="L35" s="51" t="s">
        <v>58</v>
      </c>
    </row>
    <row r="36" spans="1:14" s="311" customFormat="1" x14ac:dyDescent="0.3">
      <c r="A36" s="72" t="s">
        <v>64</v>
      </c>
      <c r="B36" s="40">
        <f>IF($E36="Y1",'DoubleCircuit_BATS-BETS'!B35,IF($E36="Y",Base!B32-Option6!I36,IF($E36="N",0)))</f>
        <v>0</v>
      </c>
      <c r="C36" s="386">
        <f>IF($E36="Y1",'DoubleCircuit_BATS-BETS'!C35,IF($E36="Y",Base!C32-Option6!J36,IF($E36="N",0)))</f>
        <v>0</v>
      </c>
      <c r="D36" s="386">
        <f>IF($E36="Y1",'DoubleCircuit_BATS-BETS'!D35,IF($E36="Y",Base!D32-Option6!K36,IF($E36="N",0)))</f>
        <v>0</v>
      </c>
      <c r="E36" s="302" t="str">
        <f t="shared" ref="E36:E45" si="6">H17</f>
        <v>N</v>
      </c>
      <c r="F36" s="52">
        <f>IF(OR(E36="Y",E36="Y1",E36="Y2"),D36*$G$5,0)</f>
        <v>0</v>
      </c>
      <c r="H36" s="72" t="s">
        <v>64</v>
      </c>
      <c r="I36" s="40">
        <v>568.94999999999993</v>
      </c>
      <c r="J36" s="40">
        <v>8781.340000000002</v>
      </c>
      <c r="K36" s="40">
        <v>7327.38904</v>
      </c>
      <c r="L36" s="40">
        <f t="shared" ref="L36:L45" si="7">K36*$G$5</f>
        <v>453931.75102800003</v>
      </c>
      <c r="N36" s="53"/>
    </row>
    <row r="37" spans="1:14" s="311" customFormat="1" x14ac:dyDescent="0.3">
      <c r="A37" s="72" t="s">
        <v>65</v>
      </c>
      <c r="B37" s="386">
        <f>IF($E37="Y1",'DoubleCircuit_BATS-BETS'!B36,IF($E37="Y",Base!B33-Option6!I37,IF($E37="N",0)))</f>
        <v>0</v>
      </c>
      <c r="C37" s="386">
        <f>IF($E37="Y1",'DoubleCircuit_BATS-BETS'!C36,IF($E37="Y",Base!C33-Option6!J37,IF($E37="N",0)))</f>
        <v>0</v>
      </c>
      <c r="D37" s="386">
        <f>IF($E37="Y1",'DoubleCircuit_BATS-BETS'!D36,IF($E37="Y",Base!D33-Option6!K37,IF($E37="N",0)))</f>
        <v>0</v>
      </c>
      <c r="E37" s="302" t="str">
        <f t="shared" si="6"/>
        <v>N</v>
      </c>
      <c r="F37" s="52">
        <f t="shared" ref="F37:F45" si="8">IF(OR(E37="Y",E37="Y1",E37="Y2"),D37*$G$5,0)</f>
        <v>0</v>
      </c>
      <c r="H37" s="72" t="s">
        <v>65</v>
      </c>
      <c r="I37" s="40">
        <v>627.50000000000011</v>
      </c>
      <c r="J37" s="40">
        <v>8960.4699999999993</v>
      </c>
      <c r="K37" s="40">
        <v>7337.7877599999993</v>
      </c>
      <c r="L37" s="40">
        <f t="shared" si="7"/>
        <v>454575.95173199999</v>
      </c>
    </row>
    <row r="38" spans="1:14" s="311" customFormat="1" x14ac:dyDescent="0.3">
      <c r="A38" s="72" t="s">
        <v>66</v>
      </c>
      <c r="B38" s="386">
        <f>IF($E38="Y1",'DoubleCircuit_BATS-BETS'!B37,IF($E38="Y",Base!B34-Option6!I38,IF($E38="N",0)))</f>
        <v>0</v>
      </c>
      <c r="C38" s="386">
        <f>IF($E38="Y1",'DoubleCircuit_BATS-BETS'!C37,IF($E38="Y",Base!C34-Option6!J38,IF($E38="N",0)))</f>
        <v>0</v>
      </c>
      <c r="D38" s="386">
        <f>IF($E38="Y1",'DoubleCircuit_BATS-BETS'!D37,IF($E38="Y",Base!D34-Option6!K38,IF($E38="N",0)))</f>
        <v>0</v>
      </c>
      <c r="E38" s="302" t="str">
        <f t="shared" si="6"/>
        <v>N</v>
      </c>
      <c r="F38" s="52">
        <f t="shared" si="8"/>
        <v>0</v>
      </c>
      <c r="H38" s="72" t="s">
        <v>66</v>
      </c>
      <c r="I38" s="40">
        <v>685.1</v>
      </c>
      <c r="J38" s="40">
        <v>9361.4600000000009</v>
      </c>
      <c r="K38" s="40">
        <v>7588.5809600000002</v>
      </c>
      <c r="L38" s="40">
        <f t="shared" si="7"/>
        <v>470112.59047200001</v>
      </c>
    </row>
    <row r="39" spans="1:14" s="311" customFormat="1" x14ac:dyDescent="0.3">
      <c r="A39" s="72" t="s">
        <v>67</v>
      </c>
      <c r="B39" s="386">
        <f>IF($E39="Y1",'DoubleCircuit_BATS-BETS'!B38,IF($E39="Y",Base!B35-Option6!I39,IF($E39="N",0)))</f>
        <v>0</v>
      </c>
      <c r="C39" s="386">
        <f>IF($E39="Y1",'DoubleCircuit_BATS-BETS'!C38,IF($E39="Y",Base!C35-Option6!J39,IF($E39="N",0)))</f>
        <v>0</v>
      </c>
      <c r="D39" s="386">
        <f>IF($E39="Y1",'DoubleCircuit_BATS-BETS'!D38,IF($E39="Y",Base!D35-Option6!K39,IF($E39="N",0)))</f>
        <v>0</v>
      </c>
      <c r="E39" s="302" t="str">
        <f t="shared" si="6"/>
        <v>N</v>
      </c>
      <c r="F39" s="52">
        <f t="shared" si="8"/>
        <v>0</v>
      </c>
      <c r="H39" s="72" t="s">
        <v>67</v>
      </c>
      <c r="I39" s="40">
        <v>737.84</v>
      </c>
      <c r="J39" s="40">
        <v>9553.9800000000014</v>
      </c>
      <c r="K39" s="40">
        <v>7647.1557600000015</v>
      </c>
      <c r="L39" s="40">
        <f t="shared" si="7"/>
        <v>473741.29933200014</v>
      </c>
    </row>
    <row r="40" spans="1:14" s="311" customFormat="1" x14ac:dyDescent="0.3">
      <c r="A40" s="72" t="s">
        <v>68</v>
      </c>
      <c r="B40" s="386">
        <f>IF($E40="Y1",'DoubleCircuit_BATS-BETS'!B39,IF($E40="Y",Base!B36-Option6!I40,IF($E40="N",0)))</f>
        <v>0</v>
      </c>
      <c r="C40" s="386">
        <f>IF($E40="Y1",'DoubleCircuit_BATS-BETS'!C39,IF($E40="Y",Base!C36-Option6!J40,IF($E40="N",0)))</f>
        <v>0</v>
      </c>
      <c r="D40" s="386">
        <f>IF($E40="Y1",'DoubleCircuit_BATS-BETS'!D39,IF($E40="Y",Base!D36-Option6!K40,IF($E40="N",0)))</f>
        <v>0</v>
      </c>
      <c r="E40" s="302" t="str">
        <f t="shared" si="6"/>
        <v>N</v>
      </c>
      <c r="F40" s="52">
        <f t="shared" si="8"/>
        <v>0</v>
      </c>
      <c r="H40" s="72" t="s">
        <v>68</v>
      </c>
      <c r="I40" s="40">
        <v>836.68999999999994</v>
      </c>
      <c r="J40" s="40">
        <v>9866.4499999999989</v>
      </c>
      <c r="K40" s="40">
        <v>7777.5103999999992</v>
      </c>
      <c r="L40" s="40">
        <f t="shared" si="7"/>
        <v>481816.76927999995</v>
      </c>
    </row>
    <row r="41" spans="1:14" s="311" customFormat="1" x14ac:dyDescent="0.3">
      <c r="A41" s="72" t="s">
        <v>69</v>
      </c>
      <c r="B41" s="386">
        <f>IF($E41="Y1",'DoubleCircuit_BATS-BETS'!B40,IF($E41="Y",Base!B37-Option6!I41,IF($E41="N",0)))</f>
        <v>0</v>
      </c>
      <c r="C41" s="386">
        <f>IF($E41="Y1",'DoubleCircuit_BATS-BETS'!C40,IF($E41="Y",Base!C37-Option6!J41,IF($E41="N",0)))</f>
        <v>0</v>
      </c>
      <c r="D41" s="386">
        <f>IF($E41="Y1",'DoubleCircuit_BATS-BETS'!D40,IF($E41="Y",Base!D37-Option6!K41,IF($E41="N",0)))</f>
        <v>0</v>
      </c>
      <c r="E41" s="302" t="str">
        <f t="shared" si="6"/>
        <v>N</v>
      </c>
      <c r="F41" s="52">
        <f t="shared" si="8"/>
        <v>0</v>
      </c>
      <c r="H41" s="72" t="s">
        <v>69</v>
      </c>
      <c r="I41" s="40">
        <v>1001.4499999999998</v>
      </c>
      <c r="J41" s="40">
        <v>10621.490000000002</v>
      </c>
      <c r="K41" s="40">
        <v>8191.5312800000011</v>
      </c>
      <c r="L41" s="40">
        <f t="shared" si="7"/>
        <v>507465.36279600009</v>
      </c>
    </row>
    <row r="42" spans="1:14" s="311" customFormat="1" x14ac:dyDescent="0.3">
      <c r="A42" s="72" t="s">
        <v>70</v>
      </c>
      <c r="B42" s="386">
        <f>IF($E42="Y1",'DoubleCircuit_BATS-BETS'!B41,IF($E42="Y",Base!B38-Option6!I42,IF($E42="N",0)))</f>
        <v>-176.65000000000009</v>
      </c>
      <c r="C42" s="386">
        <f>IF($E42="Y1",'DoubleCircuit_BATS-BETS'!C41,IF($E42="Y",Base!C38-Option6!J42,IF($E42="N",0)))</f>
        <v>189.22999999999956</v>
      </c>
      <c r="D42" s="386">
        <f>IF($E42="Y1",'DoubleCircuit_BATS-BETS'!D41,IF($E42="Y",Base!D38-Option6!K42,IF($E42="N",0)))</f>
        <v>176.45152000000053</v>
      </c>
      <c r="E42" s="302" t="str">
        <f t="shared" si="6"/>
        <v>Y1</v>
      </c>
      <c r="F42" s="52">
        <f t="shared" si="8"/>
        <v>10931.171664000034</v>
      </c>
      <c r="H42" s="72" t="s">
        <v>70</v>
      </c>
      <c r="I42" s="40">
        <v>1123.1199999999999</v>
      </c>
      <c r="J42" s="40">
        <v>11720.11</v>
      </c>
      <c r="K42" s="40">
        <v>8619.24208</v>
      </c>
      <c r="L42" s="40">
        <f t="shared" si="7"/>
        <v>533962.04685599997</v>
      </c>
    </row>
    <row r="43" spans="1:14" s="311" customFormat="1" x14ac:dyDescent="0.3">
      <c r="A43" s="72" t="s">
        <v>71</v>
      </c>
      <c r="B43" s="386">
        <f>IF($E43="Y1",'DoubleCircuit_BATS-BETS'!B42,IF($E43="Y",Base!B39-Option6!I43,IF($E43="N",0)))</f>
        <v>13.329999999999927</v>
      </c>
      <c r="C43" s="386">
        <f>IF($E43="Y1",'DoubleCircuit_BATS-BETS'!C42,IF($E43="Y",Base!C39-Option6!J43,IF($E43="N",0)))</f>
        <v>1358.2199999999975</v>
      </c>
      <c r="D43" s="386">
        <f>IF($E43="Y1",'DoubleCircuit_BATS-BETS'!D42,IF($E43="Y",Base!D39-Option6!K43,IF($E43="N",0)))</f>
        <v>828.89111999999841</v>
      </c>
      <c r="E43" s="302" t="str">
        <f t="shared" si="6"/>
        <v>Y</v>
      </c>
      <c r="F43" s="52">
        <f t="shared" si="8"/>
        <v>51349.804883999903</v>
      </c>
      <c r="H43" s="72" t="s">
        <v>71</v>
      </c>
      <c r="I43" s="40">
        <v>1258.8800000000001</v>
      </c>
      <c r="J43" s="40">
        <v>13114.19</v>
      </c>
      <c r="K43" s="40">
        <v>9175.9296799999993</v>
      </c>
      <c r="L43" s="40">
        <f t="shared" si="7"/>
        <v>568448.84367600002</v>
      </c>
    </row>
    <row r="44" spans="1:14" s="311" customFormat="1" x14ac:dyDescent="0.3">
      <c r="A44" s="72" t="s">
        <v>72</v>
      </c>
      <c r="B44" s="386">
        <f>IF($E44="Y1",'DoubleCircuit_BATS-BETS'!B43,IF($E44="Y",Base!B40-Option6!I44,IF($E44="N",0)))</f>
        <v>30.720000000000027</v>
      </c>
      <c r="C44" s="386">
        <f>IF($E44="Y1",'DoubleCircuit_BATS-BETS'!C43,IF($E44="Y",Base!C40-Option6!J44,IF($E44="N",0)))</f>
        <v>1055.9499999999989</v>
      </c>
      <c r="D44" s="386">
        <f>IF($E44="Y1",'DoubleCircuit_BATS-BETS'!D43,IF($E44="Y",Base!D40-Option6!K44,IF($E44="N",0)))</f>
        <v>651.81063999999969</v>
      </c>
      <c r="E44" s="302" t="str">
        <f t="shared" si="6"/>
        <v>Y</v>
      </c>
      <c r="F44" s="52">
        <f t="shared" si="8"/>
        <v>40379.669147999986</v>
      </c>
      <c r="H44" s="72" t="s">
        <v>72</v>
      </c>
      <c r="I44" s="40">
        <v>1278.21</v>
      </c>
      <c r="J44" s="40">
        <v>14545.32</v>
      </c>
      <c r="K44" s="40">
        <v>9613.5684000000001</v>
      </c>
      <c r="L44" s="40">
        <f t="shared" si="7"/>
        <v>595560.56238000002</v>
      </c>
    </row>
    <row r="45" spans="1:14" s="311" customFormat="1" x14ac:dyDescent="0.3">
      <c r="A45" s="72" t="s">
        <v>73</v>
      </c>
      <c r="B45" s="386">
        <f>IF($E45="Y1",'DoubleCircuit_BATS-BETS'!B44,IF($E45="Y",Base!B41-Option6!I45,IF($E45="N",0)))</f>
        <v>-5.5900000000001455</v>
      </c>
      <c r="C45" s="386">
        <f>IF($E45="Y1",'DoubleCircuit_BATS-BETS'!C44,IF($E45="Y",Base!C41-Option6!J45,IF($E45="N",0)))</f>
        <v>1011.1399999999994</v>
      </c>
      <c r="D45" s="386">
        <f>IF($E45="Y1",'DoubleCircuit_BATS-BETS'!D44,IF($E45="Y",Base!D41-Option6!K45,IF($E45="N",0)))</f>
        <v>641.06984000000011</v>
      </c>
      <c r="E45" s="302" t="str">
        <f t="shared" si="6"/>
        <v>Y</v>
      </c>
      <c r="F45" s="52">
        <f t="shared" si="8"/>
        <v>39714.276588000008</v>
      </c>
      <c r="H45" s="72" t="s">
        <v>73</v>
      </c>
      <c r="I45" s="40">
        <v>1438.87</v>
      </c>
      <c r="J45" s="40">
        <v>17052.38</v>
      </c>
      <c r="K45" s="40">
        <v>10655.84072</v>
      </c>
      <c r="L45" s="40">
        <f t="shared" si="7"/>
        <v>660129.332604</v>
      </c>
    </row>
    <row r="46" spans="1:14" s="311" customFormat="1" ht="15" thickBot="1" x14ac:dyDescent="0.35">
      <c r="E46" s="60">
        <f>SUM(COUNTIF(E36:E45,{"Y","Y1","Y2"}))</f>
        <v>4</v>
      </c>
      <c r="F46" s="62">
        <f>-PV($G$6,$G$7-E46,F45)</f>
        <v>384295.52135011525</v>
      </c>
      <c r="G46" s="55" t="s">
        <v>11</v>
      </c>
    </row>
    <row r="47" spans="1:14" s="311" customFormat="1" ht="15" thickTop="1" x14ac:dyDescent="0.3"/>
    <row r="48" spans="1:14" s="311" customFormat="1" ht="15.6" x14ac:dyDescent="0.3">
      <c r="A48" s="409" t="s">
        <v>56</v>
      </c>
      <c r="B48" s="410"/>
      <c r="C48" s="410"/>
      <c r="D48" s="410"/>
      <c r="E48" s="410"/>
      <c r="F48" s="411"/>
      <c r="H48" s="406" t="s">
        <v>60</v>
      </c>
      <c r="I48" s="406"/>
      <c r="J48" s="406"/>
      <c r="K48" s="406"/>
      <c r="L48" s="406"/>
    </row>
    <row r="49" spans="1:12" s="311" customFormat="1" ht="57.6" x14ac:dyDescent="0.3">
      <c r="A49" s="301" t="s">
        <v>5</v>
      </c>
      <c r="B49" s="51" t="s">
        <v>151</v>
      </c>
      <c r="C49" s="51" t="s">
        <v>152</v>
      </c>
      <c r="D49" s="51" t="s">
        <v>153</v>
      </c>
      <c r="E49" s="51" t="s">
        <v>12</v>
      </c>
      <c r="F49" s="51" t="s">
        <v>134</v>
      </c>
      <c r="H49" s="301" t="s">
        <v>5</v>
      </c>
      <c r="I49" s="51" t="s">
        <v>75</v>
      </c>
      <c r="J49" s="51" t="s">
        <v>51</v>
      </c>
      <c r="K49" s="50" t="s">
        <v>0</v>
      </c>
      <c r="L49" s="51" t="s">
        <v>58</v>
      </c>
    </row>
    <row r="50" spans="1:12" s="311" customFormat="1" x14ac:dyDescent="0.3">
      <c r="A50" s="72" t="s">
        <v>64</v>
      </c>
      <c r="B50" s="386">
        <f>IF($E50="Y1",'DoubleCircuit_BATS-BETS'!B49,IF($E50="Y",Base!B46-Option6!I50,IF($E50="N",0)))</f>
        <v>0</v>
      </c>
      <c r="C50" s="386">
        <f>IF($E50="Y1",'DoubleCircuit_BATS-BETS'!C49,IF($E50="Y",Base!C46-Option6!J50,IF($E50="N",0)))</f>
        <v>0</v>
      </c>
      <c r="D50" s="386">
        <f>IF($E50="Y1",'DoubleCircuit_BATS-BETS'!D49,IF($E50="Y",Base!D46-Option6!K50,IF($E50="N",0)))</f>
        <v>0</v>
      </c>
      <c r="E50" s="302" t="str">
        <f>E36</f>
        <v>N</v>
      </c>
      <c r="F50" s="52">
        <f>IF(OR(E50="Y",E50="Y1",E50="Y2"),D50*$G$5,0)</f>
        <v>0</v>
      </c>
      <c r="H50" s="72" t="s">
        <v>64</v>
      </c>
      <c r="I50" s="40">
        <v>568.92999999999995</v>
      </c>
      <c r="J50" s="40">
        <v>8781.3200000000015</v>
      </c>
      <c r="K50" s="40">
        <v>7327.3829600000008</v>
      </c>
      <c r="L50" s="40">
        <f t="shared" ref="L50:L59" si="9">K50*$G$5</f>
        <v>453931.37437200005</v>
      </c>
    </row>
    <row r="51" spans="1:12" s="311" customFormat="1" x14ac:dyDescent="0.3">
      <c r="A51" s="72" t="s">
        <v>65</v>
      </c>
      <c r="B51" s="386">
        <f>IF($E51="Y1",'DoubleCircuit_BATS-BETS'!B50,IF($E51="Y",Base!B47-Option6!I51,IF($E51="N",0)))</f>
        <v>0</v>
      </c>
      <c r="C51" s="386">
        <f>IF($E51="Y1",'DoubleCircuit_BATS-BETS'!C50,IF($E51="Y",Base!C47-Option6!J51,IF($E51="N",0)))</f>
        <v>0</v>
      </c>
      <c r="D51" s="386">
        <f>IF($E51="Y1",'DoubleCircuit_BATS-BETS'!D50,IF($E51="Y",Base!D47-Option6!K51,IF($E51="N",0)))</f>
        <v>0</v>
      </c>
      <c r="E51" s="302" t="str">
        <f t="shared" ref="E51:E59" si="10">E37</f>
        <v>N</v>
      </c>
      <c r="F51" s="52">
        <f t="shared" ref="F51:F59" si="11">IF(OR(E51="Y",E51="Y1",E51="Y2"),D51*$G$5,0)</f>
        <v>0</v>
      </c>
      <c r="H51" s="72" t="s">
        <v>65</v>
      </c>
      <c r="I51" s="40">
        <v>634.15000000000009</v>
      </c>
      <c r="J51" s="40">
        <v>8974.57</v>
      </c>
      <c r="K51" s="40">
        <v>7342.0741600000001</v>
      </c>
      <c r="L51" s="40">
        <f t="shared" si="9"/>
        <v>454841.49421200005</v>
      </c>
    </row>
    <row r="52" spans="1:12" s="311" customFormat="1" x14ac:dyDescent="0.3">
      <c r="A52" s="72" t="s">
        <v>66</v>
      </c>
      <c r="B52" s="386">
        <f>IF($E52="Y1",'DoubleCircuit_BATS-BETS'!B51,IF($E52="Y",Base!B48-Option6!I52,IF($E52="N",0)))</f>
        <v>0</v>
      </c>
      <c r="C52" s="386">
        <f>IF($E52="Y1",'DoubleCircuit_BATS-BETS'!C51,IF($E52="Y",Base!C48-Option6!J52,IF($E52="N",0)))</f>
        <v>0</v>
      </c>
      <c r="D52" s="386">
        <f>IF($E52="Y1",'DoubleCircuit_BATS-BETS'!D51,IF($E52="Y",Base!D48-Option6!K52,IF($E52="N",0)))</f>
        <v>0</v>
      </c>
      <c r="E52" s="302" t="str">
        <f t="shared" si="10"/>
        <v>N</v>
      </c>
      <c r="F52" s="52">
        <f t="shared" si="11"/>
        <v>0</v>
      </c>
      <c r="H52" s="72" t="s">
        <v>66</v>
      </c>
      <c r="I52" s="40">
        <v>715.56000000000006</v>
      </c>
      <c r="J52" s="40">
        <v>9406.7400000000016</v>
      </c>
      <c r="K52" s="40">
        <v>7600.8009600000005</v>
      </c>
      <c r="L52" s="40">
        <f t="shared" si="9"/>
        <v>470869.61947200005</v>
      </c>
    </row>
    <row r="53" spans="1:12" s="311" customFormat="1" x14ac:dyDescent="0.3">
      <c r="A53" s="72" t="s">
        <v>67</v>
      </c>
      <c r="B53" s="386">
        <f>IF($E53="Y1",'DoubleCircuit_BATS-BETS'!B52,IF($E53="Y",Base!B49-Option6!I53,IF($E53="N",0)))</f>
        <v>0</v>
      </c>
      <c r="C53" s="386">
        <f>IF($E53="Y1",'DoubleCircuit_BATS-BETS'!C52,IF($E53="Y",Base!C49-Option6!J53,IF($E53="N",0)))</f>
        <v>0</v>
      </c>
      <c r="D53" s="386">
        <f>IF($E53="Y1",'DoubleCircuit_BATS-BETS'!D52,IF($E53="Y",Base!D49-Option6!K53,IF($E53="N",0)))</f>
        <v>0</v>
      </c>
      <c r="E53" s="302" t="str">
        <f t="shared" si="10"/>
        <v>N</v>
      </c>
      <c r="F53" s="52">
        <f t="shared" si="11"/>
        <v>0</v>
      </c>
      <c r="H53" s="72" t="s">
        <v>67</v>
      </c>
      <c r="I53" s="40">
        <v>794.85</v>
      </c>
      <c r="J53" s="40">
        <v>9795.3000000000011</v>
      </c>
      <c r="K53" s="40">
        <v>7842.2126399999997</v>
      </c>
      <c r="L53" s="40">
        <f t="shared" si="9"/>
        <v>485825.07304799999</v>
      </c>
    </row>
    <row r="54" spans="1:12" s="311" customFormat="1" x14ac:dyDescent="0.3">
      <c r="A54" s="72" t="s">
        <v>68</v>
      </c>
      <c r="B54" s="386">
        <f>IF($E54="Y1",'DoubleCircuit_BATS-BETS'!B53,IF($E54="Y",Base!B50-Option6!I54,IF($E54="N",0)))</f>
        <v>0</v>
      </c>
      <c r="C54" s="386">
        <f>IF($E54="Y1",'DoubleCircuit_BATS-BETS'!C53,IF($E54="Y",Base!C50-Option6!J54,IF($E54="N",0)))</f>
        <v>0</v>
      </c>
      <c r="D54" s="386">
        <f>IF($E54="Y1",'DoubleCircuit_BATS-BETS'!D53,IF($E54="Y",Base!D50-Option6!K54,IF($E54="N",0)))</f>
        <v>0</v>
      </c>
      <c r="E54" s="302" t="str">
        <f t="shared" si="10"/>
        <v>N</v>
      </c>
      <c r="F54" s="52">
        <f t="shared" si="11"/>
        <v>0</v>
      </c>
      <c r="H54" s="72" t="s">
        <v>68</v>
      </c>
      <c r="I54" s="40">
        <v>1117.3900000000001</v>
      </c>
      <c r="J54" s="40">
        <v>10448.89</v>
      </c>
      <c r="K54" s="40">
        <v>8157.40744</v>
      </c>
      <c r="L54" s="40">
        <f t="shared" si="9"/>
        <v>505351.390908</v>
      </c>
    </row>
    <row r="55" spans="1:12" s="311" customFormat="1" x14ac:dyDescent="0.3">
      <c r="A55" s="72" t="s">
        <v>69</v>
      </c>
      <c r="B55" s="386">
        <f>IF($E55="Y1",'DoubleCircuit_BATS-BETS'!B54,IF($E55="Y",Base!B51-Option6!I55,IF($E55="N",0)))</f>
        <v>0</v>
      </c>
      <c r="C55" s="386">
        <f>IF($E55="Y1",'DoubleCircuit_BATS-BETS'!C54,IF($E55="Y",Base!C51-Option6!J55,IF($E55="N",0)))</f>
        <v>0</v>
      </c>
      <c r="D55" s="386">
        <f>IF($E55="Y1",'DoubleCircuit_BATS-BETS'!D54,IF($E55="Y",Base!D51-Option6!K55,IF($E55="N",0)))</f>
        <v>0</v>
      </c>
      <c r="E55" s="302" t="str">
        <f t="shared" si="10"/>
        <v>N</v>
      </c>
      <c r="F55" s="52">
        <f t="shared" si="11"/>
        <v>0</v>
      </c>
      <c r="H55" s="72" t="s">
        <v>69</v>
      </c>
      <c r="I55" s="40">
        <v>1162.8600000000001</v>
      </c>
      <c r="J55" s="40">
        <v>10882.730000000001</v>
      </c>
      <c r="K55" s="40">
        <v>8443.8624799999998</v>
      </c>
      <c r="L55" s="40">
        <f t="shared" si="9"/>
        <v>523097.28063599998</v>
      </c>
    </row>
    <row r="56" spans="1:12" s="311" customFormat="1" x14ac:dyDescent="0.3">
      <c r="A56" s="72" t="s">
        <v>70</v>
      </c>
      <c r="B56" s="386">
        <f>IF($E56="Y1",'DoubleCircuit_BATS-BETS'!B55,IF($E56="Y",Base!B52-Option6!I56,IF($E56="N",0)))</f>
        <v>-115.18000000000006</v>
      </c>
      <c r="C56" s="386">
        <f>IF($E56="Y1",'DoubleCircuit_BATS-BETS'!C55,IF($E56="Y",Base!C52-Option6!J56,IF($E56="N",0)))</f>
        <v>-850.94000000000415</v>
      </c>
      <c r="D56" s="386">
        <f>IF($E56="Y1",'DoubleCircuit_BATS-BETS'!D55,IF($E56="Y",Base!D52-Option6!K56,IF($E56="N",0)))</f>
        <v>-349.45808000000216</v>
      </c>
      <c r="E56" s="302" t="str">
        <f t="shared" si="10"/>
        <v>Y1</v>
      </c>
      <c r="F56" s="52">
        <f t="shared" si="11"/>
        <v>-21648.928056000135</v>
      </c>
      <c r="H56" s="72" t="s">
        <v>70</v>
      </c>
      <c r="I56" s="40">
        <v>1312.6499999999999</v>
      </c>
      <c r="J56" s="40">
        <v>12210.889999999998</v>
      </c>
      <c r="K56" s="40">
        <v>8903.6511199999986</v>
      </c>
      <c r="L56" s="40">
        <f t="shared" si="9"/>
        <v>551581.18688399997</v>
      </c>
    </row>
    <row r="57" spans="1:12" s="311" customFormat="1" x14ac:dyDescent="0.3">
      <c r="A57" s="72" t="s">
        <v>71</v>
      </c>
      <c r="B57" s="386">
        <f>IF($E57="Y1",'DoubleCircuit_BATS-BETS'!B56,IF($E57="Y",Base!B53-Option6!I57,IF($E57="N",0)))</f>
        <v>-104.75</v>
      </c>
      <c r="C57" s="386">
        <f>IF($E57="Y1",'DoubleCircuit_BATS-BETS'!C56,IF($E57="Y",Base!C53-Option6!J57,IF($E57="N",0)))</f>
        <v>2675.9699999999975</v>
      </c>
      <c r="D57" s="386">
        <f>IF($E57="Y1",'DoubleCircuit_BATS-BETS'!D56,IF($E57="Y",Base!D53-Option6!K57,IF($E57="N",0)))</f>
        <v>1576.2482400000008</v>
      </c>
      <c r="E57" s="302" t="str">
        <f t="shared" si="10"/>
        <v>Y</v>
      </c>
      <c r="F57" s="52">
        <f t="shared" si="11"/>
        <v>97648.578468000051</v>
      </c>
      <c r="H57" s="72" t="s">
        <v>71</v>
      </c>
      <c r="I57" s="40">
        <v>1546.26</v>
      </c>
      <c r="J57" s="40">
        <v>13841.41</v>
      </c>
      <c r="K57" s="40">
        <v>9539.8098399999981</v>
      </c>
      <c r="L57" s="40">
        <f t="shared" si="9"/>
        <v>590991.21958799986</v>
      </c>
    </row>
    <row r="58" spans="1:12" s="311" customFormat="1" x14ac:dyDescent="0.3">
      <c r="A58" s="72" t="s">
        <v>72</v>
      </c>
      <c r="B58" s="386">
        <f>IF($E58="Y1",'DoubleCircuit_BATS-BETS'!B57,IF($E58="Y",Base!B54-Option6!I58,IF($E58="N",0)))</f>
        <v>45.150000000000091</v>
      </c>
      <c r="C58" s="386">
        <f>IF($E58="Y1",'DoubleCircuit_BATS-BETS'!C57,IF($E58="Y",Base!C54-Option6!J58,IF($E58="N",0)))</f>
        <v>3449.350000000004</v>
      </c>
      <c r="D58" s="386">
        <f>IF($E58="Y1",'DoubleCircuit_BATS-BETS'!D57,IF($E58="Y",Base!D54-Option6!K58,IF($E58="N",0)))</f>
        <v>1794.6099999999988</v>
      </c>
      <c r="E58" s="302" t="str">
        <f t="shared" si="10"/>
        <v>Y</v>
      </c>
      <c r="F58" s="52">
        <f t="shared" si="11"/>
        <v>111176.08949999993</v>
      </c>
      <c r="H58" s="72" t="s">
        <v>72</v>
      </c>
      <c r="I58" s="40">
        <v>1620.75</v>
      </c>
      <c r="J58" s="40">
        <v>15715.88</v>
      </c>
      <c r="K58" s="40">
        <v>10519.592720000001</v>
      </c>
      <c r="L58" s="40">
        <f t="shared" si="9"/>
        <v>651688.76900400012</v>
      </c>
    </row>
    <row r="59" spans="1:12" s="311" customFormat="1" x14ac:dyDescent="0.3">
      <c r="A59" s="72" t="s">
        <v>73</v>
      </c>
      <c r="B59" s="386">
        <f>IF($E59="Y1",'DoubleCircuit_BATS-BETS'!B58,IF($E59="Y",Base!B55-Option6!I59,IF($E59="N",0)))</f>
        <v>136.79000000000019</v>
      </c>
      <c r="C59" s="386">
        <f>IF($E59="Y1",'DoubleCircuit_BATS-BETS'!C58,IF($E59="Y",Base!C55-Option6!J59,IF($E59="N",0)))</f>
        <v>3983.5400000000045</v>
      </c>
      <c r="D59" s="386">
        <f>IF($E59="Y1",'DoubleCircuit_BATS-BETS'!D58,IF($E59="Y",Base!D55-Option6!K59,IF($E59="N",0)))</f>
        <v>2152.5240800000029</v>
      </c>
      <c r="E59" s="302" t="str">
        <f t="shared" si="10"/>
        <v>Y</v>
      </c>
      <c r="F59" s="52">
        <f t="shared" si="11"/>
        <v>133348.86675600018</v>
      </c>
      <c r="H59" s="72" t="s">
        <v>73</v>
      </c>
      <c r="I59" s="40">
        <v>1813.0399999999997</v>
      </c>
      <c r="J59" s="40">
        <v>19173.499999999996</v>
      </c>
      <c r="K59" s="40">
        <v>11839.803679999997</v>
      </c>
      <c r="L59" s="40">
        <f t="shared" si="9"/>
        <v>733475.83797599981</v>
      </c>
    </row>
    <row r="60" spans="1:12" s="311" customFormat="1" ht="15" thickBot="1" x14ac:dyDescent="0.35">
      <c r="E60" s="60">
        <f>SUM(COUNTIF(E50:E59,{"Y","Y1","Y2"}))</f>
        <v>4</v>
      </c>
      <c r="F60" s="62">
        <f>-PV($G$6,$G$7-E60,F59)</f>
        <v>1290351.3968809983</v>
      </c>
      <c r="G60" s="55" t="s">
        <v>11</v>
      </c>
    </row>
    <row r="61" spans="1:12" s="311" customFormat="1" ht="15" thickTop="1" x14ac:dyDescent="0.3"/>
    <row r="62" spans="1:12" s="311" customFormat="1" ht="15.6" x14ac:dyDescent="0.3">
      <c r="A62" s="409" t="s">
        <v>55</v>
      </c>
      <c r="B62" s="410"/>
      <c r="C62" s="410"/>
      <c r="D62" s="410"/>
      <c r="E62" s="410"/>
      <c r="F62" s="411"/>
      <c r="H62" s="406" t="s">
        <v>61</v>
      </c>
      <c r="I62" s="406"/>
      <c r="J62" s="406"/>
      <c r="K62" s="406"/>
      <c r="L62" s="406"/>
    </row>
    <row r="63" spans="1:12" s="311" customFormat="1" ht="57.6" x14ac:dyDescent="0.3">
      <c r="A63" s="301" t="s">
        <v>5</v>
      </c>
      <c r="B63" s="51" t="s">
        <v>151</v>
      </c>
      <c r="C63" s="51" t="s">
        <v>152</v>
      </c>
      <c r="D63" s="51" t="s">
        <v>153</v>
      </c>
      <c r="E63" s="51" t="s">
        <v>12</v>
      </c>
      <c r="F63" s="51" t="s">
        <v>134</v>
      </c>
      <c r="H63" s="301" t="s">
        <v>5</v>
      </c>
      <c r="I63" s="51" t="s">
        <v>75</v>
      </c>
      <c r="J63" s="51" t="s">
        <v>51</v>
      </c>
      <c r="K63" s="50" t="s">
        <v>0</v>
      </c>
      <c r="L63" s="51" t="s">
        <v>58</v>
      </c>
    </row>
    <row r="64" spans="1:12" s="311" customFormat="1" x14ac:dyDescent="0.3">
      <c r="A64" s="72" t="s">
        <v>64</v>
      </c>
      <c r="B64" s="386">
        <f>IF($E64="Y1",'DoubleCircuit_BATS-BETS'!B63,IF($E64="Y",Base!B60-Option6!I64,IF($E64="N",0)))</f>
        <v>0</v>
      </c>
      <c r="C64" s="386">
        <f>IF($E64="Y1",'DoubleCircuit_BATS-BETS'!C63,IF($E64="Y",Base!C60-Option6!J64,IF($E64="N",0)))</f>
        <v>0</v>
      </c>
      <c r="D64" s="386">
        <f>IF($E64="Y1",'DoubleCircuit_BATS-BETS'!D63,IF($E64="Y",Base!D60-Option6!K64,IF($E64="N",0)))</f>
        <v>0</v>
      </c>
      <c r="E64" s="302" t="str">
        <f>E36</f>
        <v>N</v>
      </c>
      <c r="F64" s="52">
        <f>IF(OR(E64="Y",E64="Y1",E64="Y2"),D64*$G$5,0)</f>
        <v>0</v>
      </c>
      <c r="H64" s="72" t="s">
        <v>64</v>
      </c>
      <c r="I64" s="40">
        <v>523.51</v>
      </c>
      <c r="J64" s="40">
        <v>8625.31</v>
      </c>
      <c r="K64" s="40">
        <v>7214.518</v>
      </c>
      <c r="L64" s="40">
        <f t="shared" ref="L64:L73" si="12">K64*$G$5</f>
        <v>446939.39010000002</v>
      </c>
    </row>
    <row r="65" spans="1:15" s="311" customFormat="1" x14ac:dyDescent="0.3">
      <c r="A65" s="72" t="s">
        <v>65</v>
      </c>
      <c r="B65" s="386">
        <f>IF($E65="Y1",'DoubleCircuit_BATS-BETS'!B64,IF($E65="Y",Base!B61-Option6!I65,IF($E65="N",0)))</f>
        <v>0</v>
      </c>
      <c r="C65" s="386">
        <f>IF($E65="Y1",'DoubleCircuit_BATS-BETS'!C64,IF($E65="Y",Base!C61-Option6!J65,IF($E65="N",0)))</f>
        <v>0</v>
      </c>
      <c r="D65" s="386">
        <f>IF($E65="Y1",'DoubleCircuit_BATS-BETS'!D64,IF($E65="Y",Base!D61-Option6!K65,IF($E65="N",0)))</f>
        <v>0</v>
      </c>
      <c r="E65" s="302" t="str">
        <f t="shared" ref="E65:E73" si="13">E37</f>
        <v>N</v>
      </c>
      <c r="F65" s="52">
        <f t="shared" ref="F65:F73" si="14">IF(OR(E65="Y",E65="Y1",E65="Y2"),D65*$G$5,0)</f>
        <v>0</v>
      </c>
      <c r="H65" s="72" t="s">
        <v>65</v>
      </c>
      <c r="I65" s="40">
        <v>546.66</v>
      </c>
      <c r="J65" s="40">
        <v>8764.7799999999988</v>
      </c>
      <c r="K65" s="40">
        <v>7267.2663999999986</v>
      </c>
      <c r="L65" s="40">
        <f t="shared" si="12"/>
        <v>450207.15347999992</v>
      </c>
    </row>
    <row r="66" spans="1:15" s="311" customFormat="1" x14ac:dyDescent="0.3">
      <c r="A66" s="72" t="s">
        <v>66</v>
      </c>
      <c r="B66" s="386">
        <f>IF($E66="Y1",'DoubleCircuit_BATS-BETS'!B65,IF($E66="Y",Base!B62-Option6!I66,IF($E66="N",0)))</f>
        <v>0</v>
      </c>
      <c r="C66" s="386">
        <f>IF($E66="Y1",'DoubleCircuit_BATS-BETS'!C65,IF($E66="Y",Base!C62-Option6!J66,IF($E66="N",0)))</f>
        <v>0</v>
      </c>
      <c r="D66" s="386">
        <f>IF($E66="Y1",'DoubleCircuit_BATS-BETS'!D65,IF($E66="Y",Base!D62-Option6!K66,IF($E66="N",0)))</f>
        <v>0</v>
      </c>
      <c r="E66" s="302" t="str">
        <f t="shared" si="13"/>
        <v>N</v>
      </c>
      <c r="F66" s="52">
        <f t="shared" si="14"/>
        <v>0</v>
      </c>
      <c r="H66" s="72" t="s">
        <v>66</v>
      </c>
      <c r="I66" s="40">
        <v>566.92999999999995</v>
      </c>
      <c r="J66" s="40">
        <v>8872.26</v>
      </c>
      <c r="K66" s="40">
        <v>7334.4340799999991</v>
      </c>
      <c r="L66" s="40">
        <f t="shared" si="12"/>
        <v>454368.19125599996</v>
      </c>
    </row>
    <row r="67" spans="1:15" s="311" customFormat="1" x14ac:dyDescent="0.3">
      <c r="A67" s="72" t="s">
        <v>67</v>
      </c>
      <c r="B67" s="386">
        <f>IF($E67="Y1",'DoubleCircuit_BATS-BETS'!B66,IF($E67="Y",Base!B63-Option6!I67,IF($E67="N",0)))</f>
        <v>0</v>
      </c>
      <c r="C67" s="386">
        <f>IF($E67="Y1",'DoubleCircuit_BATS-BETS'!C66,IF($E67="Y",Base!C63-Option6!J67,IF($E67="N",0)))</f>
        <v>0</v>
      </c>
      <c r="D67" s="386">
        <f>IF($E67="Y1",'DoubleCircuit_BATS-BETS'!D66,IF($E67="Y",Base!D63-Option6!K67,IF($E67="N",0)))</f>
        <v>0</v>
      </c>
      <c r="E67" s="302" t="str">
        <f t="shared" si="13"/>
        <v>N</v>
      </c>
      <c r="F67" s="52">
        <f t="shared" si="14"/>
        <v>0</v>
      </c>
      <c r="H67" s="72" t="s">
        <v>67</v>
      </c>
      <c r="I67" s="40">
        <v>584.85</v>
      </c>
      <c r="J67" s="40">
        <v>8944.6</v>
      </c>
      <c r="K67" s="40">
        <v>7364.0257599999995</v>
      </c>
      <c r="L67" s="40">
        <f t="shared" si="12"/>
        <v>456201.39583200001</v>
      </c>
    </row>
    <row r="68" spans="1:15" s="311" customFormat="1" x14ac:dyDescent="0.3">
      <c r="A68" s="72" t="s">
        <v>68</v>
      </c>
      <c r="B68" s="386">
        <f>IF($E68="Y1",'DoubleCircuit_BATS-BETS'!B67,IF($E68="Y",Base!B64-Option6!I68,IF($E68="N",0)))</f>
        <v>0</v>
      </c>
      <c r="C68" s="386">
        <f>IF($E68="Y1",'DoubleCircuit_BATS-BETS'!C67,IF($E68="Y",Base!C64-Option6!J68,IF($E68="N",0)))</f>
        <v>0</v>
      </c>
      <c r="D68" s="386">
        <f>IF($E68="Y1",'DoubleCircuit_BATS-BETS'!D67,IF($E68="Y",Base!D64-Option6!K68,IF($E68="N",0)))</f>
        <v>0</v>
      </c>
      <c r="E68" s="302" t="str">
        <f t="shared" si="13"/>
        <v>N</v>
      </c>
      <c r="F68" s="52">
        <f t="shared" si="14"/>
        <v>0</v>
      </c>
      <c r="H68" s="72" t="s">
        <v>68</v>
      </c>
      <c r="I68" s="40">
        <v>655.18999999999994</v>
      </c>
      <c r="J68" s="40">
        <v>9189.7100000000009</v>
      </c>
      <c r="K68" s="40">
        <v>7501.0817599999991</v>
      </c>
      <c r="L68" s="40">
        <f t="shared" si="12"/>
        <v>464692.01503199997</v>
      </c>
    </row>
    <row r="69" spans="1:15" s="311" customFormat="1" x14ac:dyDescent="0.3">
      <c r="A69" s="72" t="s">
        <v>69</v>
      </c>
      <c r="B69" s="386">
        <f>IF($E69="Y1",'DoubleCircuit_BATS-BETS'!B68,IF($E69="Y",Base!B65-Option6!I69,IF($E69="N",0)))</f>
        <v>0</v>
      </c>
      <c r="C69" s="386">
        <f>IF($E69="Y1",'DoubleCircuit_BATS-BETS'!C68,IF($E69="Y",Base!C65-Option6!J69,IF($E69="N",0)))</f>
        <v>0</v>
      </c>
      <c r="D69" s="386">
        <f>IF($E69="Y1",'DoubleCircuit_BATS-BETS'!D68,IF($E69="Y",Base!D65-Option6!K69,IF($E69="N",0)))</f>
        <v>0</v>
      </c>
      <c r="E69" s="302" t="str">
        <f t="shared" si="13"/>
        <v>N</v>
      </c>
      <c r="F69" s="52">
        <f t="shared" si="14"/>
        <v>0</v>
      </c>
      <c r="H69" s="72" t="s">
        <v>69</v>
      </c>
      <c r="I69" s="40">
        <v>724.69000000000017</v>
      </c>
      <c r="J69" s="40">
        <v>9495.27</v>
      </c>
      <c r="K69" s="40">
        <v>7702.3948799999998</v>
      </c>
      <c r="L69" s="40">
        <f t="shared" si="12"/>
        <v>477163.36281600001</v>
      </c>
    </row>
    <row r="70" spans="1:15" s="311" customFormat="1" x14ac:dyDescent="0.3">
      <c r="A70" s="72" t="s">
        <v>70</v>
      </c>
      <c r="B70" s="386">
        <f>IF($E70="Y1",'DoubleCircuit_BATS-BETS'!B69,IF($E70="Y",Base!B66-Option6!I70,IF($E70="N",0)))</f>
        <v>83.370000000000118</v>
      </c>
      <c r="C70" s="386">
        <f>IF($E70="Y1",'DoubleCircuit_BATS-BETS'!C69,IF($E70="Y",Base!C66-Option6!J70,IF($E70="N",0)))</f>
        <v>713.55999999999767</v>
      </c>
      <c r="D70" s="386">
        <f>IF($E70="Y1",'DoubleCircuit_BATS-BETS'!D69,IF($E70="Y",Base!D66-Option6!K70,IF($E70="N",0)))</f>
        <v>647.69751999999971</v>
      </c>
      <c r="E70" s="302" t="str">
        <f t="shared" si="13"/>
        <v>Y1</v>
      </c>
      <c r="F70" s="52">
        <f t="shared" si="14"/>
        <v>40124.861363999982</v>
      </c>
      <c r="H70" s="72" t="s">
        <v>70</v>
      </c>
      <c r="I70" s="40">
        <v>805.39</v>
      </c>
      <c r="J70" s="40">
        <v>9893.17</v>
      </c>
      <c r="K70" s="40">
        <v>7883.7414399999998</v>
      </c>
      <c r="L70" s="40">
        <f t="shared" si="12"/>
        <v>488397.78220800002</v>
      </c>
    </row>
    <row r="71" spans="1:15" s="311" customFormat="1" x14ac:dyDescent="0.3">
      <c r="A71" s="72" t="s">
        <v>71</v>
      </c>
      <c r="B71" s="386">
        <f>IF($E71="Y1",'DoubleCircuit_BATS-BETS'!B70,IF($E71="Y",Base!B67-Option6!I71,IF($E71="N",0)))</f>
        <v>199.25</v>
      </c>
      <c r="C71" s="386">
        <f>IF($E71="Y1",'DoubleCircuit_BATS-BETS'!C70,IF($E71="Y",Base!C67-Option6!J71,IF($E71="N",0)))</f>
        <v>1184.4799999999996</v>
      </c>
      <c r="D71" s="386">
        <f>IF($E71="Y1",'DoubleCircuit_BATS-BETS'!D70,IF($E71="Y",Base!D67-Option6!K71,IF($E71="N",0)))</f>
        <v>671.40272000000004</v>
      </c>
      <c r="E71" s="302" t="str">
        <f t="shared" si="13"/>
        <v>Y</v>
      </c>
      <c r="F71" s="52">
        <f t="shared" si="14"/>
        <v>41593.398504000004</v>
      </c>
      <c r="H71" s="72" t="s">
        <v>71</v>
      </c>
      <c r="I71" s="40">
        <v>899.86999999999989</v>
      </c>
      <c r="J71" s="40">
        <v>10350.130000000001</v>
      </c>
      <c r="K71" s="40">
        <v>8092.7444799999994</v>
      </c>
      <c r="L71" s="40">
        <f t="shared" si="12"/>
        <v>501345.52053599997</v>
      </c>
    </row>
    <row r="72" spans="1:15" s="311" customFormat="1" x14ac:dyDescent="0.3">
      <c r="A72" s="72" t="s">
        <v>72</v>
      </c>
      <c r="B72" s="386">
        <f>IF($E72="Y1",'DoubleCircuit_BATS-BETS'!B71,IF($E72="Y",Base!B68-Option6!I72,IF($E72="N",0)))</f>
        <v>134.20000000000016</v>
      </c>
      <c r="C72" s="386">
        <f>IF($E72="Y1",'DoubleCircuit_BATS-BETS'!C71,IF($E72="Y",Base!C68-Option6!J72,IF($E72="N",0)))</f>
        <v>902.5</v>
      </c>
      <c r="D72" s="386">
        <f>IF($E72="Y1",'DoubleCircuit_BATS-BETS'!D71,IF($E72="Y",Base!D68-Option6!K72,IF($E72="N",0)))</f>
        <v>553.63695999999982</v>
      </c>
      <c r="E72" s="302" t="str">
        <f t="shared" si="13"/>
        <v>Y</v>
      </c>
      <c r="F72" s="52">
        <f t="shared" si="14"/>
        <v>34297.809671999988</v>
      </c>
      <c r="H72" s="72" t="s">
        <v>72</v>
      </c>
      <c r="I72" s="40">
        <v>908.88</v>
      </c>
      <c r="J72" s="40">
        <v>10588.339999999998</v>
      </c>
      <c r="K72" s="40">
        <v>8013.3139999999985</v>
      </c>
      <c r="L72" s="40">
        <f t="shared" si="12"/>
        <v>496424.80229999992</v>
      </c>
    </row>
    <row r="73" spans="1:15" s="311" customFormat="1" x14ac:dyDescent="0.3">
      <c r="A73" s="72" t="s">
        <v>73</v>
      </c>
      <c r="B73" s="386">
        <f>IF($E73="Y1",'DoubleCircuit_BATS-BETS'!B72,IF($E73="Y",Base!B69-Option6!I73,IF($E73="N",0)))</f>
        <v>66.340000000000259</v>
      </c>
      <c r="C73" s="386">
        <f>IF($E73="Y1",'DoubleCircuit_BATS-BETS'!C72,IF($E73="Y",Base!C69-Option6!J73,IF($E73="N",0)))</f>
        <v>1081.6100000000006</v>
      </c>
      <c r="D73" s="386">
        <f>IF($E73="Y1",'DoubleCircuit_BATS-BETS'!D72,IF($E73="Y",Base!D69-Option6!K73,IF($E73="N",0)))</f>
        <v>642.14168000000063</v>
      </c>
      <c r="E73" s="302" t="str">
        <f t="shared" si="13"/>
        <v>Y</v>
      </c>
      <c r="F73" s="52">
        <f t="shared" si="14"/>
        <v>39780.677076000044</v>
      </c>
      <c r="H73" s="72" t="s">
        <v>73</v>
      </c>
      <c r="I73" s="40">
        <v>1017.7799999999999</v>
      </c>
      <c r="J73" s="40">
        <v>11420.919999999998</v>
      </c>
      <c r="K73" s="40">
        <v>8296.0470399999995</v>
      </c>
      <c r="L73" s="40">
        <f t="shared" si="12"/>
        <v>513940.11412799999</v>
      </c>
    </row>
    <row r="74" spans="1:15" s="311" customFormat="1" ht="15" thickBot="1" x14ac:dyDescent="0.35">
      <c r="E74" s="60">
        <f>SUM(COUNTIF(E64:E73,{"Y","Y1","Y2"}))</f>
        <v>4</v>
      </c>
      <c r="F74" s="62">
        <f>-PV($G$6,$G$7-E74,F73)</f>
        <v>384938.04621387133</v>
      </c>
      <c r="G74" s="55" t="s">
        <v>11</v>
      </c>
    </row>
    <row r="75" spans="1:15" s="311" customFormat="1" ht="15" thickTop="1" x14ac:dyDescent="0.3"/>
    <row r="76" spans="1:15" s="311" customFormat="1" ht="15.6" x14ac:dyDescent="0.3">
      <c r="A76" s="409" t="s">
        <v>54</v>
      </c>
      <c r="B76" s="410"/>
      <c r="C76" s="410"/>
      <c r="D76" s="410"/>
      <c r="E76" s="410"/>
      <c r="F76" s="411"/>
      <c r="H76" s="406" t="s">
        <v>62</v>
      </c>
      <c r="I76" s="406"/>
      <c r="J76" s="406"/>
      <c r="K76" s="406"/>
      <c r="L76" s="406"/>
    </row>
    <row r="77" spans="1:15" s="311" customFormat="1" ht="57.6" x14ac:dyDescent="0.3">
      <c r="A77" s="301" t="s">
        <v>5</v>
      </c>
      <c r="B77" s="51" t="s">
        <v>151</v>
      </c>
      <c r="C77" s="51" t="s">
        <v>152</v>
      </c>
      <c r="D77" s="51" t="s">
        <v>153</v>
      </c>
      <c r="E77" s="51" t="s">
        <v>12</v>
      </c>
      <c r="F77" s="51" t="s">
        <v>134</v>
      </c>
      <c r="H77" s="301" t="s">
        <v>5</v>
      </c>
      <c r="I77" s="51" t="s">
        <v>75</v>
      </c>
      <c r="J77" s="51" t="s">
        <v>51</v>
      </c>
      <c r="K77" s="50" t="s">
        <v>0</v>
      </c>
      <c r="L77" s="51" t="s">
        <v>58</v>
      </c>
    </row>
    <row r="78" spans="1:15" s="311" customFormat="1" x14ac:dyDescent="0.3">
      <c r="A78" s="72" t="s">
        <v>64</v>
      </c>
      <c r="B78" s="386">
        <f>IF($E78="Y1",'DoubleCircuit_BATS-BETS'!B77,IF($E78="Y",Base!B74-Option6!I78,IF($E78="N",0)))</f>
        <v>0</v>
      </c>
      <c r="C78" s="386">
        <f>IF($E78="Y1",'DoubleCircuit_BATS-BETS'!C77,IF($E78="Y",Base!C74-Option6!J78,IF($E78="N",0)))</f>
        <v>0</v>
      </c>
      <c r="D78" s="386">
        <f>IF($E78="Y1",'DoubleCircuit_BATS-BETS'!D77,IF($E78="Y",Base!D74-Option6!K78,IF($E78="N",0)))</f>
        <v>0</v>
      </c>
      <c r="E78" s="302" t="str">
        <f>E36</f>
        <v>N</v>
      </c>
      <c r="F78" s="52">
        <f>IF(OR(E78="Y",E78="Y1",E78="Y2"),D78*$G$5,0)</f>
        <v>0</v>
      </c>
      <c r="H78" s="72" t="s">
        <v>64</v>
      </c>
      <c r="I78" s="40">
        <v>523.51</v>
      </c>
      <c r="J78" s="40">
        <v>8625.31</v>
      </c>
      <c r="K78" s="40">
        <v>7214.518</v>
      </c>
      <c r="L78" s="40">
        <f t="shared" ref="L78:L87" si="15">K78*$G$5</f>
        <v>446939.39010000002</v>
      </c>
    </row>
    <row r="79" spans="1:15" s="311" customFormat="1" x14ac:dyDescent="0.3">
      <c r="A79" s="72" t="s">
        <v>65</v>
      </c>
      <c r="B79" s="386">
        <f>IF($E79="Y1",'DoubleCircuit_BATS-BETS'!B78,IF($E79="Y",Base!B75-Option6!I79,IF($E79="N",0)))</f>
        <v>0</v>
      </c>
      <c r="C79" s="386">
        <f>IF($E79="Y1",'DoubleCircuit_BATS-BETS'!C78,IF($E79="Y",Base!C75-Option6!J79,IF($E79="N",0)))</f>
        <v>0</v>
      </c>
      <c r="D79" s="386">
        <f>IF($E79="Y1",'DoubleCircuit_BATS-BETS'!D78,IF($E79="Y",Base!D75-Option6!K79,IF($E79="N",0)))</f>
        <v>0</v>
      </c>
      <c r="E79" s="302" t="str">
        <f t="shared" ref="E79:E87" si="16">E37</f>
        <v>N</v>
      </c>
      <c r="F79" s="52">
        <f t="shared" ref="F79:F87" si="17">IF(OR(E79="Y",E79="Y1",E79="Y2"),D79*$G$5,0)</f>
        <v>0</v>
      </c>
      <c r="H79" s="72" t="s">
        <v>65</v>
      </c>
      <c r="I79" s="40">
        <v>546.66</v>
      </c>
      <c r="J79" s="40">
        <v>8757.4299999999985</v>
      </c>
      <c r="K79" s="40">
        <v>7265.0319999999992</v>
      </c>
      <c r="L79" s="40">
        <f t="shared" si="15"/>
        <v>450068.73239999998</v>
      </c>
    </row>
    <row r="80" spans="1:15" s="311" customFormat="1" x14ac:dyDescent="0.3">
      <c r="A80" s="72" t="s">
        <v>66</v>
      </c>
      <c r="B80" s="386">
        <f>IF($E80="Y1",'DoubleCircuit_BATS-BETS'!B79,IF($E80="Y",Base!B76-Option6!I80,IF($E80="N",0)))</f>
        <v>0</v>
      </c>
      <c r="C80" s="386">
        <f>IF($E80="Y1",'DoubleCircuit_BATS-BETS'!C79,IF($E80="Y",Base!C76-Option6!J80,IF($E80="N",0)))</f>
        <v>0</v>
      </c>
      <c r="D80" s="386">
        <f>IF($E80="Y1",'DoubleCircuit_BATS-BETS'!D79,IF($E80="Y",Base!D76-Option6!K80,IF($E80="N",0)))</f>
        <v>0</v>
      </c>
      <c r="E80" s="302" t="str">
        <f t="shared" si="16"/>
        <v>N</v>
      </c>
      <c r="F80" s="52">
        <f t="shared" si="17"/>
        <v>0</v>
      </c>
      <c r="H80" s="72" t="s">
        <v>66</v>
      </c>
      <c r="I80" s="40">
        <v>577.46</v>
      </c>
      <c r="J80" s="40">
        <v>8882.18</v>
      </c>
      <c r="K80" s="40">
        <v>7337.5402400000003</v>
      </c>
      <c r="L80" s="40">
        <f t="shared" si="15"/>
        <v>454560.61786800006</v>
      </c>
      <c r="N80" s="39"/>
      <c r="O80" s="39"/>
    </row>
    <row r="81" spans="1:15" s="311" customFormat="1" x14ac:dyDescent="0.3">
      <c r="A81" s="72" t="s">
        <v>67</v>
      </c>
      <c r="B81" s="386">
        <f>IF($E81="Y1",'DoubleCircuit_BATS-BETS'!B80,IF($E81="Y",Base!B77-Option6!I81,IF($E81="N",0)))</f>
        <v>0</v>
      </c>
      <c r="C81" s="386">
        <f>IF($E81="Y1",'DoubleCircuit_BATS-BETS'!C80,IF($E81="Y",Base!C77-Option6!J81,IF($E81="N",0)))</f>
        <v>0</v>
      </c>
      <c r="D81" s="386">
        <f>IF($E81="Y1",'DoubleCircuit_BATS-BETS'!D80,IF($E81="Y",Base!D77-Option6!K81,IF($E81="N",0)))</f>
        <v>0</v>
      </c>
      <c r="E81" s="302" t="str">
        <f t="shared" si="16"/>
        <v>N</v>
      </c>
      <c r="F81" s="52">
        <f t="shared" si="17"/>
        <v>0</v>
      </c>
      <c r="H81" s="72" t="s">
        <v>67</v>
      </c>
      <c r="I81" s="40">
        <v>638.07999999999993</v>
      </c>
      <c r="J81" s="40">
        <v>9132.92</v>
      </c>
      <c r="K81" s="40">
        <v>7524.2899999999991</v>
      </c>
      <c r="L81" s="40">
        <f t="shared" si="15"/>
        <v>466129.76549999998</v>
      </c>
      <c r="N81" s="45"/>
      <c r="O81" s="54"/>
    </row>
    <row r="82" spans="1:15" s="311" customFormat="1" x14ac:dyDescent="0.3">
      <c r="A82" s="72" t="s">
        <v>68</v>
      </c>
      <c r="B82" s="386">
        <f>IF($E82="Y1",'DoubleCircuit_BATS-BETS'!B81,IF($E82="Y",Base!B78-Option6!I82,IF($E82="N",0)))</f>
        <v>0</v>
      </c>
      <c r="C82" s="386">
        <f>IF($E82="Y1",'DoubleCircuit_BATS-BETS'!C81,IF($E82="Y",Base!C78-Option6!J82,IF($E82="N",0)))</f>
        <v>0</v>
      </c>
      <c r="D82" s="386">
        <f>IF($E82="Y1",'DoubleCircuit_BATS-BETS'!D81,IF($E82="Y",Base!D78-Option6!K82,IF($E82="N",0)))</f>
        <v>0</v>
      </c>
      <c r="E82" s="302" t="str">
        <f t="shared" si="16"/>
        <v>N</v>
      </c>
      <c r="F82" s="52">
        <f t="shared" si="17"/>
        <v>0</v>
      </c>
      <c r="H82" s="72" t="s">
        <v>68</v>
      </c>
      <c r="I82" s="40">
        <v>949.08</v>
      </c>
      <c r="J82" s="40">
        <v>9631.09</v>
      </c>
      <c r="K82" s="40">
        <v>7766.728720000001</v>
      </c>
      <c r="L82" s="40">
        <f t="shared" si="15"/>
        <v>481148.84420400008</v>
      </c>
      <c r="N82" s="45"/>
      <c r="O82" s="54"/>
    </row>
    <row r="83" spans="1:15" s="311" customFormat="1" x14ac:dyDescent="0.3">
      <c r="A83" s="72" t="s">
        <v>69</v>
      </c>
      <c r="B83" s="386">
        <f>IF($E83="Y1",'DoubleCircuit_BATS-BETS'!B82,IF($E83="Y",Base!B79-Option6!I83,IF($E83="N",0)))</f>
        <v>0</v>
      </c>
      <c r="C83" s="386">
        <f>IF($E83="Y1",'DoubleCircuit_BATS-BETS'!C82,IF($E83="Y",Base!C79-Option6!J83,IF($E83="N",0)))</f>
        <v>0</v>
      </c>
      <c r="D83" s="386">
        <f>IF($E83="Y1",'DoubleCircuit_BATS-BETS'!D82,IF($E83="Y",Base!D79-Option6!K83,IF($E83="N",0)))</f>
        <v>0</v>
      </c>
      <c r="E83" s="302" t="str">
        <f t="shared" si="16"/>
        <v>N</v>
      </c>
      <c r="F83" s="52">
        <f t="shared" si="17"/>
        <v>0</v>
      </c>
      <c r="H83" s="72" t="s">
        <v>69</v>
      </c>
      <c r="I83" s="40">
        <v>922.18000000000006</v>
      </c>
      <c r="J83" s="40">
        <v>9894.6799999999985</v>
      </c>
      <c r="K83" s="40">
        <v>7995.6857599999985</v>
      </c>
      <c r="L83" s="40">
        <f t="shared" si="15"/>
        <v>495332.73283199995</v>
      </c>
      <c r="N83" s="39"/>
      <c r="O83" s="39"/>
    </row>
    <row r="84" spans="1:15" s="311" customFormat="1" x14ac:dyDescent="0.3">
      <c r="A84" s="72" t="s">
        <v>70</v>
      </c>
      <c r="B84" s="386">
        <f>IF($E84="Y1",'DoubleCircuit_BATS-BETS'!B83,IF($E84="Y",Base!B80-Option6!I84,IF($E84="N",0)))</f>
        <v>-37.020000000000209</v>
      </c>
      <c r="C84" s="386">
        <f>IF($E84="Y1",'DoubleCircuit_BATS-BETS'!C83,IF($E84="Y",Base!C80-Option6!J84,IF($E84="N",0)))</f>
        <v>-262.7400000000016</v>
      </c>
      <c r="D84" s="386">
        <f>IF($E84="Y1",'DoubleCircuit_BATS-BETS'!D83,IF($E84="Y",Base!D80-Option6!K84,IF($E84="N",0)))</f>
        <v>-123.1850400000003</v>
      </c>
      <c r="E84" s="302" t="str">
        <f t="shared" si="16"/>
        <v>Y1</v>
      </c>
      <c r="F84" s="52">
        <f t="shared" si="17"/>
        <v>-7631.3132280000191</v>
      </c>
      <c r="H84" s="72" t="s">
        <v>70</v>
      </c>
      <c r="I84" s="40">
        <v>962.00999999999988</v>
      </c>
      <c r="J84" s="40">
        <v>10165.81</v>
      </c>
      <c r="K84" s="40">
        <v>8084.5959999999995</v>
      </c>
      <c r="L84" s="40">
        <f t="shared" si="15"/>
        <v>500840.72220000002</v>
      </c>
      <c r="N84" s="39"/>
      <c r="O84" s="39"/>
    </row>
    <row r="85" spans="1:15" s="311" customFormat="1" x14ac:dyDescent="0.3">
      <c r="A85" s="72" t="s">
        <v>71</v>
      </c>
      <c r="B85" s="386">
        <f>IF($E85="Y1",'DoubleCircuit_BATS-BETS'!B84,IF($E85="Y",Base!B81-Option6!I85,IF($E85="N",0)))</f>
        <v>274.45000000000005</v>
      </c>
      <c r="C85" s="386">
        <f>IF($E85="Y1",'DoubleCircuit_BATS-BETS'!C84,IF($E85="Y",Base!C81-Option6!J85,IF($E85="N",0)))</f>
        <v>2160.2900000000027</v>
      </c>
      <c r="D85" s="386">
        <f>IF($E85="Y1",'DoubleCircuit_BATS-BETS'!D84,IF($E85="Y",Base!D81-Option6!K85,IF($E85="N",0)))</f>
        <v>1243.6580000000013</v>
      </c>
      <c r="E85" s="302" t="str">
        <f t="shared" si="16"/>
        <v>Y</v>
      </c>
      <c r="F85" s="52">
        <f t="shared" si="17"/>
        <v>77044.613100000075</v>
      </c>
      <c r="H85" s="72" t="s">
        <v>71</v>
      </c>
      <c r="I85" s="40">
        <v>1028.53</v>
      </c>
      <c r="J85" s="40">
        <v>10561.78</v>
      </c>
      <c r="K85" s="40">
        <v>8248.6657599999999</v>
      </c>
      <c r="L85" s="40">
        <f t="shared" si="15"/>
        <v>511004.84383200004</v>
      </c>
      <c r="N85" s="39"/>
      <c r="O85" s="39"/>
    </row>
    <row r="86" spans="1:15" s="311" customFormat="1" x14ac:dyDescent="0.3">
      <c r="A86" s="72" t="s">
        <v>72</v>
      </c>
      <c r="B86" s="386">
        <f>IF($E86="Y1",'DoubleCircuit_BATS-BETS'!B85,IF($E86="Y",Base!B82-Option6!I86,IF($E86="N",0)))</f>
        <v>173.17000000000007</v>
      </c>
      <c r="C86" s="386">
        <f>IF($E86="Y1",'DoubleCircuit_BATS-BETS'!C85,IF($E86="Y",Base!C82-Option6!J86,IF($E86="N",0)))</f>
        <v>2276.7800000000007</v>
      </c>
      <c r="D86" s="386">
        <f>IF($E86="Y1",'DoubleCircuit_BATS-BETS'!D85,IF($E86="Y",Base!D82-Option6!K86,IF($E86="N",0)))</f>
        <v>1358.9787199999992</v>
      </c>
      <c r="E86" s="302" t="str">
        <f t="shared" si="16"/>
        <v>Y</v>
      </c>
      <c r="F86" s="52">
        <f t="shared" si="17"/>
        <v>84188.731703999947</v>
      </c>
      <c r="H86" s="72" t="s">
        <v>72</v>
      </c>
      <c r="I86" s="40">
        <v>1037.3000000000002</v>
      </c>
      <c r="J86" s="40">
        <v>11040.849999999999</v>
      </c>
      <c r="K86" s="40">
        <v>8436.99568</v>
      </c>
      <c r="L86" s="40">
        <f t="shared" si="15"/>
        <v>522671.88237600005</v>
      </c>
    </row>
    <row r="87" spans="1:15" s="311" customFormat="1" x14ac:dyDescent="0.3">
      <c r="A87" s="72" t="s">
        <v>73</v>
      </c>
      <c r="B87" s="386">
        <f>IF($E87="Y1",'DoubleCircuit_BATS-BETS'!B86,IF($E87="Y",Base!B83-Option6!I87,IF($E87="N",0)))</f>
        <v>49.939999999999827</v>
      </c>
      <c r="C87" s="386">
        <f>IF($E87="Y1",'DoubleCircuit_BATS-BETS'!C86,IF($E87="Y",Base!C83-Option6!J87,IF($E87="N",0)))</f>
        <v>2567.5799999999963</v>
      </c>
      <c r="D87" s="386">
        <f>IF($E87="Y1",'DoubleCircuit_BATS-BETS'!D86,IF($E87="Y",Base!D83-Option6!K87,IF($E87="N",0)))</f>
        <v>1535.2936800000007</v>
      </c>
      <c r="E87" s="302" t="str">
        <f t="shared" si="16"/>
        <v>Y</v>
      </c>
      <c r="F87" s="52">
        <f t="shared" si="17"/>
        <v>95111.443476000044</v>
      </c>
      <c r="H87" s="72" t="s">
        <v>73</v>
      </c>
      <c r="I87" s="40">
        <v>1353.78</v>
      </c>
      <c r="J87" s="40">
        <v>12372.730000000001</v>
      </c>
      <c r="K87" s="40">
        <v>8967.4177599999985</v>
      </c>
      <c r="L87" s="40">
        <f t="shared" si="15"/>
        <v>555531.53023199993</v>
      </c>
    </row>
    <row r="88" spans="1:15" s="311" customFormat="1" ht="15" thickBot="1" x14ac:dyDescent="0.35">
      <c r="E88" s="60">
        <f>SUM(COUNTIF(E78:E87,{"Y","Y1","Y2"}))</f>
        <v>4</v>
      </c>
      <c r="F88" s="62">
        <f>-PV($G$6,$G$7-E88,F87)</f>
        <v>920346.65861232404</v>
      </c>
      <c r="G88" s="55" t="s">
        <v>11</v>
      </c>
    </row>
    <row r="89" spans="1:15" s="311" customFormat="1" ht="15" thickTop="1" x14ac:dyDescent="0.3"/>
    <row r="90" spans="1:15" s="311" customFormat="1" ht="15.6" x14ac:dyDescent="0.3">
      <c r="A90" s="409" t="s">
        <v>53</v>
      </c>
      <c r="B90" s="410"/>
      <c r="C90" s="410"/>
      <c r="D90" s="410"/>
      <c r="E90" s="410"/>
      <c r="F90" s="411"/>
      <c r="H90" s="406" t="s">
        <v>63</v>
      </c>
      <c r="I90" s="406"/>
      <c r="J90" s="406"/>
      <c r="K90" s="406"/>
      <c r="L90" s="406"/>
    </row>
    <row r="91" spans="1:15" s="311" customFormat="1" ht="57.6" x14ac:dyDescent="0.3">
      <c r="A91" s="301" t="s">
        <v>5</v>
      </c>
      <c r="B91" s="51" t="s">
        <v>151</v>
      </c>
      <c r="C91" s="51" t="s">
        <v>152</v>
      </c>
      <c r="D91" s="51" t="s">
        <v>153</v>
      </c>
      <c r="E91" s="51" t="s">
        <v>12</v>
      </c>
      <c r="F91" s="51" t="s">
        <v>134</v>
      </c>
      <c r="H91" s="301" t="s">
        <v>5</v>
      </c>
      <c r="I91" s="51" t="s">
        <v>75</v>
      </c>
      <c r="J91" s="51" t="s">
        <v>51</v>
      </c>
      <c r="K91" s="50" t="s">
        <v>0</v>
      </c>
      <c r="L91" s="51" t="s">
        <v>58</v>
      </c>
    </row>
    <row r="92" spans="1:15" s="311" customFormat="1" x14ac:dyDescent="0.3">
      <c r="A92" s="72" t="s">
        <v>64</v>
      </c>
      <c r="B92" s="386">
        <f>IF($E92="Y1",'DoubleCircuit_BATS-BETS'!B91,IF($E92="Y",Base!B88-Option6!I92,IF($E92="N",0)))</f>
        <v>0</v>
      </c>
      <c r="C92" s="386">
        <f>IF($E92="Y1",'DoubleCircuit_BATS-BETS'!C91,IF($E92="Y",Base!C88-Option6!J92,IF($E92="N",0)))</f>
        <v>0</v>
      </c>
      <c r="D92" s="386">
        <f>IF($E92="Y1",'DoubleCircuit_BATS-BETS'!D91,IF($E92="Y",Base!D88-Option6!K92,IF($E92="N",0)))</f>
        <v>0</v>
      </c>
      <c r="E92" s="302" t="str">
        <f>E36</f>
        <v>N</v>
      </c>
      <c r="F92" s="52">
        <f>IF(OR(E92="Y",E92="Y1",E92="Y2"),D92*$G$5,0)</f>
        <v>0</v>
      </c>
      <c r="H92" s="72" t="s">
        <v>64</v>
      </c>
      <c r="I92" s="40">
        <v>553.73</v>
      </c>
      <c r="J92" s="40">
        <v>8771.7000000000025</v>
      </c>
      <c r="K92" s="40">
        <v>7324.4584800000011</v>
      </c>
      <c r="L92" s="40">
        <f t="shared" ref="L92:L101" si="18">K92*$G$5</f>
        <v>453750.20283600007</v>
      </c>
    </row>
    <row r="93" spans="1:15" s="311" customFormat="1" x14ac:dyDescent="0.3">
      <c r="A93" s="72" t="s">
        <v>65</v>
      </c>
      <c r="B93" s="386">
        <f>IF($E93="Y1",'DoubleCircuit_BATS-BETS'!B92,IF($E93="Y",Base!B89-Option6!I93,IF($E93="N",0)))</f>
        <v>0</v>
      </c>
      <c r="C93" s="386">
        <f>IF($E93="Y1",'DoubleCircuit_BATS-BETS'!C92,IF($E93="Y",Base!C89-Option6!J93,IF($E93="N",0)))</f>
        <v>0</v>
      </c>
      <c r="D93" s="386">
        <f>IF($E93="Y1",'DoubleCircuit_BATS-BETS'!D92,IF($E93="Y",Base!D89-Option6!K93,IF($E93="N",0)))</f>
        <v>0</v>
      </c>
      <c r="E93" s="302" t="str">
        <f t="shared" ref="E93:E101" si="19">E37</f>
        <v>N</v>
      </c>
      <c r="F93" s="52">
        <f t="shared" ref="F93:F101" si="20">IF(OR(E93="Y",E93="Y1",E93="Y2"),D93*$G$5,0)</f>
        <v>0</v>
      </c>
      <c r="H93" s="72" t="s">
        <v>65</v>
      </c>
      <c r="I93" s="40">
        <v>582.74</v>
      </c>
      <c r="J93" s="40">
        <v>8888.5</v>
      </c>
      <c r="K93" s="40">
        <v>7316.4169599999987</v>
      </c>
      <c r="L93" s="40">
        <f t="shared" si="18"/>
        <v>453252.03067199996</v>
      </c>
    </row>
    <row r="94" spans="1:15" s="311" customFormat="1" x14ac:dyDescent="0.3">
      <c r="A94" s="72" t="s">
        <v>66</v>
      </c>
      <c r="B94" s="386">
        <f>IF($E94="Y1",'DoubleCircuit_BATS-BETS'!B93,IF($E94="Y",Base!B90-Option6!I94,IF($E94="N",0)))</f>
        <v>0</v>
      </c>
      <c r="C94" s="386">
        <f>IF($E94="Y1",'DoubleCircuit_BATS-BETS'!C93,IF($E94="Y",Base!C90-Option6!J94,IF($E94="N",0)))</f>
        <v>0</v>
      </c>
      <c r="D94" s="386">
        <f>IF($E94="Y1",'DoubleCircuit_BATS-BETS'!D93,IF($E94="Y",Base!D90-Option6!K94,IF($E94="N",0)))</f>
        <v>0</v>
      </c>
      <c r="E94" s="302" t="str">
        <f t="shared" si="19"/>
        <v>N</v>
      </c>
      <c r="F94" s="52">
        <f t="shared" si="20"/>
        <v>0</v>
      </c>
      <c r="H94" s="72" t="s">
        <v>66</v>
      </c>
      <c r="I94" s="40">
        <v>637.73</v>
      </c>
      <c r="J94" s="40">
        <v>9274.2900000000009</v>
      </c>
      <c r="K94" s="40">
        <v>7563.0696000000007</v>
      </c>
      <c r="L94" s="40">
        <f t="shared" si="18"/>
        <v>468532.16172000009</v>
      </c>
    </row>
    <row r="95" spans="1:15" s="311" customFormat="1" x14ac:dyDescent="0.3">
      <c r="A95" s="72" t="s">
        <v>67</v>
      </c>
      <c r="B95" s="386">
        <f>IF($E95="Y1",'DoubleCircuit_BATS-BETS'!B94,IF($E95="Y",Base!B91-Option6!I95,IF($E95="N",0)))</f>
        <v>0</v>
      </c>
      <c r="C95" s="386">
        <f>IF($E95="Y1",'DoubleCircuit_BATS-BETS'!C94,IF($E95="Y",Base!C91-Option6!J95,IF($E95="N",0)))</f>
        <v>0</v>
      </c>
      <c r="D95" s="386">
        <f>IF($E95="Y1",'DoubleCircuit_BATS-BETS'!D94,IF($E95="Y",Base!D91-Option6!K95,IF($E95="N",0)))</f>
        <v>0</v>
      </c>
      <c r="E95" s="302" t="str">
        <f t="shared" si="19"/>
        <v>N</v>
      </c>
      <c r="F95" s="52">
        <f t="shared" si="20"/>
        <v>0</v>
      </c>
      <c r="H95" s="72" t="s">
        <v>67</v>
      </c>
      <c r="I95" s="40">
        <v>706.58</v>
      </c>
      <c r="J95" s="40">
        <v>9500.5600000000013</v>
      </c>
      <c r="K95" s="40">
        <v>7649.387920000001</v>
      </c>
      <c r="L95" s="40">
        <f t="shared" si="18"/>
        <v>473879.58164400008</v>
      </c>
    </row>
    <row r="96" spans="1:15" s="311" customFormat="1" x14ac:dyDescent="0.3">
      <c r="A96" s="72" t="s">
        <v>68</v>
      </c>
      <c r="B96" s="386">
        <f>IF($E96="Y1",'DoubleCircuit_BATS-BETS'!B95,IF($E96="Y",Base!B92-Option6!I96,IF($E96="N",0)))</f>
        <v>0</v>
      </c>
      <c r="C96" s="386">
        <f>IF($E96="Y1",'DoubleCircuit_BATS-BETS'!C95,IF($E96="Y",Base!C92-Option6!J96,IF($E96="N",0)))</f>
        <v>0</v>
      </c>
      <c r="D96" s="386">
        <f>IF($E96="Y1",'DoubleCircuit_BATS-BETS'!D95,IF($E96="Y",Base!D92-Option6!K96,IF($E96="N",0)))</f>
        <v>0</v>
      </c>
      <c r="E96" s="302" t="str">
        <f t="shared" si="19"/>
        <v>N</v>
      </c>
      <c r="F96" s="52">
        <f t="shared" si="20"/>
        <v>0</v>
      </c>
      <c r="H96" s="72" t="s">
        <v>68</v>
      </c>
      <c r="I96" s="40">
        <v>771.94</v>
      </c>
      <c r="J96" s="40">
        <v>9720.1</v>
      </c>
      <c r="K96" s="40">
        <v>7729.9088800000009</v>
      </c>
      <c r="L96" s="40">
        <f t="shared" si="18"/>
        <v>478867.85511600005</v>
      </c>
    </row>
    <row r="97" spans="1:12" s="311" customFormat="1" x14ac:dyDescent="0.3">
      <c r="A97" s="72" t="s">
        <v>69</v>
      </c>
      <c r="B97" s="386">
        <f>IF($E97="Y1",'DoubleCircuit_BATS-BETS'!B96,IF($E97="Y",Base!B93-Option6!I97,IF($E97="N",0)))</f>
        <v>0</v>
      </c>
      <c r="C97" s="386">
        <f>IF($E97="Y1",'DoubleCircuit_BATS-BETS'!C96,IF($E97="Y",Base!C93-Option6!J97,IF($E97="N",0)))</f>
        <v>0</v>
      </c>
      <c r="D97" s="386">
        <f>IF($E97="Y1",'DoubleCircuit_BATS-BETS'!D96,IF($E97="Y",Base!D93-Option6!K97,IF($E97="N",0)))</f>
        <v>0</v>
      </c>
      <c r="E97" s="302" t="str">
        <f t="shared" si="19"/>
        <v>N</v>
      </c>
      <c r="F97" s="52">
        <f t="shared" si="20"/>
        <v>0</v>
      </c>
      <c r="H97" s="72" t="s">
        <v>69</v>
      </c>
      <c r="I97" s="40">
        <v>860.17</v>
      </c>
      <c r="J97" s="40">
        <v>10349.700000000001</v>
      </c>
      <c r="K97" s="40">
        <v>7996.7188800000004</v>
      </c>
      <c r="L97" s="40">
        <f t="shared" si="18"/>
        <v>495396.73461600003</v>
      </c>
    </row>
    <row r="98" spans="1:12" s="311" customFormat="1" x14ac:dyDescent="0.3">
      <c r="A98" s="72" t="s">
        <v>70</v>
      </c>
      <c r="B98" s="386">
        <f>IF($E98="Y1",'DoubleCircuit_BATS-BETS'!B97,IF($E98="Y",Base!B94-Option6!I98,IF($E98="N",0)))</f>
        <v>163.60000000000014</v>
      </c>
      <c r="C98" s="386">
        <f>IF($E98="Y1",'DoubleCircuit_BATS-BETS'!C97,IF($E98="Y",Base!C94-Option6!J98,IF($E98="N",0)))</f>
        <v>1127.8100000000013</v>
      </c>
      <c r="D98" s="386">
        <f>IF($E98="Y1",'DoubleCircuit_BATS-BETS'!D97,IF($E98="Y",Base!D94-Option6!K98,IF($E98="N",0)))</f>
        <v>898.70768000000135</v>
      </c>
      <c r="E98" s="302" t="str">
        <f t="shared" si="19"/>
        <v>Y1</v>
      </c>
      <c r="F98" s="52">
        <f t="shared" si="20"/>
        <v>55674.940776000083</v>
      </c>
      <c r="H98" s="72" t="s">
        <v>70</v>
      </c>
      <c r="I98" s="40">
        <v>1007.8299999999999</v>
      </c>
      <c r="J98" s="40">
        <v>11408.739999999998</v>
      </c>
      <c r="K98" s="40">
        <v>8526.2420799999982</v>
      </c>
      <c r="L98" s="40">
        <f t="shared" si="18"/>
        <v>528200.69685599988</v>
      </c>
    </row>
    <row r="99" spans="1:12" s="311" customFormat="1" x14ac:dyDescent="0.3">
      <c r="A99" s="72" t="s">
        <v>71</v>
      </c>
      <c r="B99" s="386">
        <f>IF($E99="Y1",'DoubleCircuit_BATS-BETS'!B98,IF($E99="Y",Base!B95-Option6!I99,IF($E99="N",0)))</f>
        <v>-7.1999999999998181</v>
      </c>
      <c r="C99" s="386">
        <f>IF($E99="Y1",'DoubleCircuit_BATS-BETS'!C98,IF($E99="Y",Base!C95-Option6!J99,IF($E99="N",0)))</f>
        <v>905.00999999999658</v>
      </c>
      <c r="D99" s="386">
        <f>IF($E99="Y1",'DoubleCircuit_BATS-BETS'!D98,IF($E99="Y",Base!D95-Option6!K99,IF($E99="N",0)))</f>
        <v>508.8259199999975</v>
      </c>
      <c r="E99" s="302" t="str">
        <f t="shared" si="19"/>
        <v>Y</v>
      </c>
      <c r="F99" s="52">
        <f t="shared" si="20"/>
        <v>31521.765743999847</v>
      </c>
      <c r="H99" s="72" t="s">
        <v>71</v>
      </c>
      <c r="I99" s="40">
        <v>1125.6300000000001</v>
      </c>
      <c r="J99" s="40">
        <v>12745.270000000002</v>
      </c>
      <c r="K99" s="40">
        <v>9008.6269600000014</v>
      </c>
      <c r="L99" s="40">
        <f t="shared" si="18"/>
        <v>558084.44017200009</v>
      </c>
    </row>
    <row r="100" spans="1:12" s="311" customFormat="1" x14ac:dyDescent="0.3">
      <c r="A100" s="72" t="s">
        <v>72</v>
      </c>
      <c r="B100" s="386">
        <f>IF($E100="Y1",'DoubleCircuit_BATS-BETS'!B99,IF($E100="Y",Base!B96-Option6!I100,IF($E100="N",0)))</f>
        <v>-92.170000000000073</v>
      </c>
      <c r="C100" s="386">
        <f>IF($E100="Y1",'DoubleCircuit_BATS-BETS'!C99,IF($E100="Y",Base!C96-Option6!J100,IF($E100="N",0)))</f>
        <v>481.52000000000044</v>
      </c>
      <c r="D100" s="386">
        <f>IF($E100="Y1",'DoubleCircuit_BATS-BETS'!D99,IF($E100="Y",Base!D96-Option6!K100,IF($E100="N",0)))</f>
        <v>350.63719999999739</v>
      </c>
      <c r="E100" s="302" t="str">
        <f t="shared" si="19"/>
        <v>Y</v>
      </c>
      <c r="F100" s="52">
        <f t="shared" si="20"/>
        <v>21721.974539999839</v>
      </c>
      <c r="H100" s="72" t="s">
        <v>72</v>
      </c>
      <c r="I100" s="40">
        <v>1163.8599999999999</v>
      </c>
      <c r="J100" s="40">
        <v>14356.7</v>
      </c>
      <c r="K100" s="40">
        <v>9410.9796800000004</v>
      </c>
      <c r="L100" s="40">
        <f t="shared" si="18"/>
        <v>583010.19117600005</v>
      </c>
    </row>
    <row r="101" spans="1:12" s="311" customFormat="1" x14ac:dyDescent="0.3">
      <c r="A101" s="72" t="s">
        <v>73</v>
      </c>
      <c r="B101" s="386">
        <f>IF($E101="Y1",'DoubleCircuit_BATS-BETS'!B100,IF($E101="Y",Base!B97-Option6!I101,IF($E101="N",0)))</f>
        <v>-99.450000000000045</v>
      </c>
      <c r="C101" s="386">
        <f>IF($E101="Y1",'DoubleCircuit_BATS-BETS'!C100,IF($E101="Y",Base!C97-Option6!J101,IF($E101="N",0)))</f>
        <v>363.95999999999549</v>
      </c>
      <c r="D101" s="386">
        <f>IF($E101="Y1",'DoubleCircuit_BATS-BETS'!D100,IF($E101="Y",Base!D97-Option6!K101,IF($E101="N",0)))</f>
        <v>350.29752000000008</v>
      </c>
      <c r="E101" s="302" t="str">
        <f t="shared" si="19"/>
        <v>Y</v>
      </c>
      <c r="F101" s="52">
        <f t="shared" si="20"/>
        <v>21700.931364000007</v>
      </c>
      <c r="H101" s="72" t="s">
        <v>73</v>
      </c>
      <c r="I101" s="40">
        <v>1282.1699999999998</v>
      </c>
      <c r="J101" s="40">
        <v>16845.930000000004</v>
      </c>
      <c r="K101" s="40">
        <v>10347.73992</v>
      </c>
      <c r="L101" s="40">
        <f t="shared" si="18"/>
        <v>641042.488044</v>
      </c>
    </row>
    <row r="102" spans="1:12" s="311" customFormat="1" ht="15" thickBot="1" x14ac:dyDescent="0.35">
      <c r="E102" s="60">
        <f>SUM(COUNTIF(E92:E101,{"Y","Y1","Y2"}))</f>
        <v>4</v>
      </c>
      <c r="F102" s="62">
        <f>-PV($G$6,$G$7-E102,F101)</f>
        <v>209989.23935659247</v>
      </c>
      <c r="G102" s="55" t="s">
        <v>11</v>
      </c>
    </row>
    <row r="103" spans="1:12" ht="15" thickTop="1" x14ac:dyDescent="0.3"/>
    <row r="104" spans="1:12" x14ac:dyDescent="0.3">
      <c r="A104" s="363" t="s">
        <v>121</v>
      </c>
      <c r="B104" s="357"/>
      <c r="C104" s="357"/>
      <c r="D104" s="357"/>
      <c r="E104" s="357"/>
    </row>
    <row r="105" spans="1:12" x14ac:dyDescent="0.3">
      <c r="A105" s="408" t="s">
        <v>5</v>
      </c>
      <c r="B105" s="72" t="s">
        <v>3</v>
      </c>
      <c r="C105" s="344">
        <f>NPV_Summary!$F$35*Option1a!$G$5+Option1a!$G$5</f>
        <v>74.34</v>
      </c>
      <c r="D105" s="26">
        <f>NPV_Summary!$G$35*Option1a!$G$5+Option1a!$G$5</f>
        <v>49.56</v>
      </c>
      <c r="E105" s="357"/>
    </row>
    <row r="106" spans="1:12" ht="43.2" x14ac:dyDescent="0.3">
      <c r="A106" s="408"/>
      <c r="B106" s="51" t="s">
        <v>12</v>
      </c>
      <c r="C106" s="50" t="s">
        <v>25</v>
      </c>
      <c r="D106" s="50" t="s">
        <v>25</v>
      </c>
      <c r="E106" s="357"/>
    </row>
    <row r="107" spans="1:12" x14ac:dyDescent="0.3">
      <c r="A107" s="362" t="s">
        <v>64</v>
      </c>
      <c r="B107" s="3" t="str">
        <f>H17</f>
        <v>N</v>
      </c>
      <c r="C107" s="5">
        <f>IF(OR(B107="Y",B107="Y1",B107="Y2"),D17*$C$105/1000,0)</f>
        <v>0</v>
      </c>
      <c r="D107" s="5">
        <f>IF(OR(B107="Y",B107="Y1",B107="Y2"),D17*$D$105/1000,0)</f>
        <v>0</v>
      </c>
      <c r="E107" s="357"/>
    </row>
    <row r="108" spans="1:12" x14ac:dyDescent="0.3">
      <c r="A108" s="362" t="s">
        <v>65</v>
      </c>
      <c r="B108" s="3" t="str">
        <f t="shared" ref="B108:B116" si="21">H18</f>
        <v>N</v>
      </c>
      <c r="C108" s="5">
        <f t="shared" ref="C108:C116" si="22">IF(OR(B108="Y",B108="Y1",B108="Y2"),D18*$C$105/1000,0)</f>
        <v>0</v>
      </c>
      <c r="D108" s="5">
        <f t="shared" ref="D108:D116" si="23">IF(OR(B108="Y",B108="Y1",B108="Y2"),D18*$D$105/1000,0)</f>
        <v>0</v>
      </c>
      <c r="E108" s="357"/>
    </row>
    <row r="109" spans="1:12" x14ac:dyDescent="0.3">
      <c r="A109" s="362" t="s">
        <v>66</v>
      </c>
      <c r="B109" s="3" t="str">
        <f t="shared" si="21"/>
        <v>N</v>
      </c>
      <c r="C109" s="5">
        <f t="shared" si="22"/>
        <v>0</v>
      </c>
      <c r="D109" s="5">
        <f t="shared" si="23"/>
        <v>0</v>
      </c>
      <c r="E109" s="357"/>
    </row>
    <row r="110" spans="1:12" x14ac:dyDescent="0.3">
      <c r="A110" s="362" t="s">
        <v>67</v>
      </c>
      <c r="B110" s="3" t="str">
        <f t="shared" si="21"/>
        <v>N</v>
      </c>
      <c r="C110" s="5">
        <f t="shared" si="22"/>
        <v>0</v>
      </c>
      <c r="D110" s="5">
        <f t="shared" si="23"/>
        <v>0</v>
      </c>
      <c r="E110" s="357"/>
    </row>
    <row r="111" spans="1:12" x14ac:dyDescent="0.3">
      <c r="A111" s="362" t="s">
        <v>68</v>
      </c>
      <c r="B111" s="3" t="str">
        <f t="shared" si="21"/>
        <v>N</v>
      </c>
      <c r="C111" s="5">
        <f t="shared" si="22"/>
        <v>0</v>
      </c>
      <c r="D111" s="5">
        <f t="shared" si="23"/>
        <v>0</v>
      </c>
      <c r="E111" s="357"/>
    </row>
    <row r="112" spans="1:12" x14ac:dyDescent="0.3">
      <c r="A112" s="362" t="s">
        <v>69</v>
      </c>
      <c r="B112" s="3" t="str">
        <f t="shared" si="21"/>
        <v>N</v>
      </c>
      <c r="C112" s="5">
        <f t="shared" si="22"/>
        <v>0</v>
      </c>
      <c r="D112" s="5">
        <f t="shared" si="23"/>
        <v>0</v>
      </c>
      <c r="E112" s="357"/>
    </row>
    <row r="113" spans="1:5" x14ac:dyDescent="0.3">
      <c r="A113" s="362" t="s">
        <v>70</v>
      </c>
      <c r="B113" s="3" t="str">
        <f t="shared" si="21"/>
        <v>Y1</v>
      </c>
      <c r="C113" s="5">
        <f t="shared" si="22"/>
        <v>18.588175804799988</v>
      </c>
      <c r="D113" s="5">
        <f t="shared" si="23"/>
        <v>12.392117203199991</v>
      </c>
      <c r="E113" s="357"/>
    </row>
    <row r="114" spans="1:5" x14ac:dyDescent="0.3">
      <c r="A114" s="362" t="s">
        <v>71</v>
      </c>
      <c r="B114" s="3" t="str">
        <f t="shared" si="21"/>
        <v>Y</v>
      </c>
      <c r="C114" s="5">
        <f t="shared" si="22"/>
        <v>71.79795856799997</v>
      </c>
      <c r="D114" s="5">
        <f t="shared" si="23"/>
        <v>47.865305711999987</v>
      </c>
      <c r="E114" s="357"/>
    </row>
    <row r="115" spans="1:5" x14ac:dyDescent="0.3">
      <c r="A115" s="362" t="s">
        <v>72</v>
      </c>
      <c r="B115" s="3" t="str">
        <f t="shared" si="21"/>
        <v>Y</v>
      </c>
      <c r="C115" s="5">
        <f t="shared" si="22"/>
        <v>70.023425895359935</v>
      </c>
      <c r="D115" s="5">
        <f t="shared" si="23"/>
        <v>46.682283930239961</v>
      </c>
      <c r="E115" s="357"/>
    </row>
    <row r="116" spans="1:5" x14ac:dyDescent="0.3">
      <c r="A116" s="362" t="s">
        <v>73</v>
      </c>
      <c r="B116" s="3" t="str">
        <f t="shared" si="21"/>
        <v>Y</v>
      </c>
      <c r="C116" s="5">
        <f t="shared" si="22"/>
        <v>79.117486862400085</v>
      </c>
      <c r="D116" s="5">
        <f t="shared" si="23"/>
        <v>52.744991241600054</v>
      </c>
      <c r="E116" s="357"/>
    </row>
    <row r="117" spans="1:5" x14ac:dyDescent="0.3">
      <c r="A117" s="357"/>
      <c r="B117" s="39">
        <f>SUM(COUNTIF(B107:B116,{"Y","Y1","Y2"}))</f>
        <v>4</v>
      </c>
      <c r="C117" s="47">
        <f>-PV($G$6,$G$7-B117,C116)</f>
        <v>765.58100697933651</v>
      </c>
      <c r="D117" s="47">
        <f>-PV($G$6,$G$7-B117,D116)</f>
        <v>510.38733798622434</v>
      </c>
      <c r="E117" s="357" t="s">
        <v>11</v>
      </c>
    </row>
    <row r="118" spans="1:5" ht="15" thickBot="1" x14ac:dyDescent="0.35">
      <c r="A118" s="357"/>
      <c r="B118" s="357"/>
      <c r="C118" s="13">
        <f>NPV($G$6,C107:C115,C116+C117)</f>
        <v>398.39755491771552</v>
      </c>
      <c r="D118" s="13">
        <f>NPV($G$6,D107:D115,D116+D117)</f>
        <v>265.5983699451437</v>
      </c>
      <c r="E118" s="357" t="s">
        <v>23</v>
      </c>
    </row>
    <row r="119" spans="1:5" ht="15" thickTop="1" x14ac:dyDescent="0.3"/>
  </sheetData>
  <mergeCells count="12">
    <mergeCell ref="A105:A106"/>
    <mergeCell ref="A15:I15"/>
    <mergeCell ref="A34:F34"/>
    <mergeCell ref="H34:L34"/>
    <mergeCell ref="A48:F48"/>
    <mergeCell ref="H48:L48"/>
    <mergeCell ref="A62:F62"/>
    <mergeCell ref="H62:L62"/>
    <mergeCell ref="A76:F76"/>
    <mergeCell ref="H76:L76"/>
    <mergeCell ref="A90:F90"/>
    <mergeCell ref="H90:L90"/>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zoomScale="70" zoomScaleNormal="70" workbookViewId="0">
      <selection activeCell="L30" sqref="L30"/>
    </sheetView>
  </sheetViews>
  <sheetFormatPr defaultRowHeight="14.4" x14ac:dyDescent="0.3"/>
  <cols>
    <col min="1" max="1" width="38.77734375" style="321" customWidth="1"/>
    <col min="2" max="12" width="15.77734375" style="321" customWidth="1"/>
    <col min="13" max="17" width="10.77734375" style="321" customWidth="1"/>
    <col min="18" max="16384" width="8.88671875" style="321"/>
  </cols>
  <sheetData>
    <row r="1" spans="1:18" x14ac:dyDescent="0.3">
      <c r="A1" s="327" t="s">
        <v>103</v>
      </c>
    </row>
    <row r="2" spans="1:18" x14ac:dyDescent="0.3">
      <c r="A2" s="327" t="s">
        <v>90</v>
      </c>
    </row>
    <row r="3" spans="1:18" x14ac:dyDescent="0.3">
      <c r="A3" s="327" t="s">
        <v>102</v>
      </c>
    </row>
    <row r="5" spans="1:18" x14ac:dyDescent="0.3">
      <c r="A5" s="68" t="s">
        <v>31</v>
      </c>
      <c r="B5" s="69" t="s">
        <v>33</v>
      </c>
      <c r="C5" s="69" t="s">
        <v>34</v>
      </c>
      <c r="D5" s="69" t="s">
        <v>35</v>
      </c>
      <c r="F5" s="65" t="s">
        <v>3</v>
      </c>
      <c r="G5" s="328">
        <v>61.95</v>
      </c>
    </row>
    <row r="6" spans="1:18" x14ac:dyDescent="0.3">
      <c r="A6" s="333" t="s">
        <v>4</v>
      </c>
      <c r="B6" s="334">
        <v>27.8</v>
      </c>
      <c r="C6" s="334">
        <v>171.8</v>
      </c>
      <c r="D6" s="339"/>
      <c r="F6" s="66" t="s">
        <v>2</v>
      </c>
      <c r="G6" s="329">
        <v>0.1</v>
      </c>
    </row>
    <row r="7" spans="1:18" x14ac:dyDescent="0.3">
      <c r="A7" s="333" t="s">
        <v>36</v>
      </c>
      <c r="B7" s="335">
        <v>0.02</v>
      </c>
      <c r="C7" s="335">
        <v>0.02</v>
      </c>
      <c r="D7" s="31"/>
      <c r="F7" s="66" t="s">
        <v>1</v>
      </c>
      <c r="G7" s="330">
        <v>40</v>
      </c>
    </row>
    <row r="8" spans="1:18" x14ac:dyDescent="0.3">
      <c r="A8" s="333" t="s">
        <v>30</v>
      </c>
      <c r="B8" s="336">
        <f>-PV($G$6,$G$7,B6*B7)</f>
        <v>5.4371521994738794</v>
      </c>
      <c r="C8" s="32">
        <f>-PV($G$6,$G$7,C6*C7)</f>
        <v>33.6008182686911</v>
      </c>
      <c r="D8" s="32">
        <f>-PV($G$6,$G$7,D6*D7)</f>
        <v>0</v>
      </c>
      <c r="F8" s="66" t="s">
        <v>6</v>
      </c>
      <c r="G8" s="329">
        <v>0.2</v>
      </c>
    </row>
    <row r="9" spans="1:18" x14ac:dyDescent="0.3">
      <c r="A9" s="333" t="s">
        <v>32</v>
      </c>
      <c r="B9" s="336">
        <f>B6+B8</f>
        <v>33.237152199473883</v>
      </c>
      <c r="C9" s="32">
        <f>C6+C8</f>
        <v>205.40081826869113</v>
      </c>
      <c r="D9" s="32">
        <f>D6+D8</f>
        <v>0</v>
      </c>
      <c r="F9" s="66" t="s">
        <v>7</v>
      </c>
      <c r="G9" s="329">
        <v>0.2</v>
      </c>
    </row>
    <row r="10" spans="1:18" x14ac:dyDescent="0.3">
      <c r="A10" s="333" t="s">
        <v>15</v>
      </c>
      <c r="B10" s="336">
        <f>-PMT($G$6,$G$7,B9)</f>
        <v>3.3988117207194719</v>
      </c>
      <c r="C10" s="32">
        <f>-PMT($G$6,$G$7,C9)</f>
        <v>21.004167396388681</v>
      </c>
      <c r="D10" s="32">
        <f>-PMT($G$6,$G$7,D9)</f>
        <v>0</v>
      </c>
      <c r="F10" s="66" t="s">
        <v>8</v>
      </c>
      <c r="G10" s="329">
        <v>0.2</v>
      </c>
    </row>
    <row r="11" spans="1:18" x14ac:dyDescent="0.3">
      <c r="B11" s="332"/>
      <c r="C11" s="332"/>
      <c r="D11" s="332"/>
      <c r="F11" s="66" t="s">
        <v>9</v>
      </c>
      <c r="G11" s="329">
        <v>0.2</v>
      </c>
    </row>
    <row r="12" spans="1:18" x14ac:dyDescent="0.3">
      <c r="A12" s="325" t="s">
        <v>28</v>
      </c>
      <c r="B12" s="337">
        <f>SUM(B9:D9)</f>
        <v>238.63797046816501</v>
      </c>
      <c r="C12" s="332"/>
      <c r="D12" s="332"/>
      <c r="F12" s="67" t="s">
        <v>10</v>
      </c>
      <c r="G12" s="331">
        <v>0.2</v>
      </c>
    </row>
    <row r="13" spans="1:18" x14ac:dyDescent="0.3">
      <c r="A13" s="326" t="s">
        <v>29</v>
      </c>
      <c r="B13" s="338">
        <f>-PMT($G$6,$G$7,B12)</f>
        <v>24.402979117108156</v>
      </c>
      <c r="C13" s="332"/>
      <c r="D13" s="332"/>
    </row>
    <row r="15" spans="1:18" ht="15.6" x14ac:dyDescent="0.3">
      <c r="A15" s="397" t="s">
        <v>57</v>
      </c>
      <c r="B15" s="397"/>
      <c r="C15" s="397"/>
      <c r="D15" s="397"/>
      <c r="E15" s="397"/>
      <c r="F15" s="397"/>
      <c r="G15" s="397"/>
      <c r="H15" s="397"/>
      <c r="I15" s="397"/>
      <c r="M15" s="380"/>
      <c r="N15" s="380"/>
      <c r="O15" s="380"/>
      <c r="P15" s="380"/>
      <c r="Q15" s="380"/>
      <c r="R15" s="340"/>
    </row>
    <row r="16" spans="1:18" s="332" customFormat="1" ht="57.6" x14ac:dyDescent="0.3">
      <c r="A16" s="40" t="s">
        <v>5</v>
      </c>
      <c r="B16" s="51" t="s">
        <v>151</v>
      </c>
      <c r="C16" s="51" t="s">
        <v>152</v>
      </c>
      <c r="D16" s="51" t="s">
        <v>153</v>
      </c>
      <c r="E16" s="50" t="s">
        <v>25</v>
      </c>
      <c r="F16" s="50" t="s">
        <v>15</v>
      </c>
      <c r="G16" s="51" t="s">
        <v>155</v>
      </c>
      <c r="H16" s="50" t="s">
        <v>12</v>
      </c>
      <c r="I16" s="50" t="s">
        <v>24</v>
      </c>
      <c r="J16" s="35"/>
      <c r="K16" s="35"/>
      <c r="M16" s="36"/>
      <c r="N16" s="37"/>
      <c r="O16" s="37"/>
      <c r="P16" s="37"/>
      <c r="Q16" s="38"/>
      <c r="R16" s="39"/>
    </row>
    <row r="17" spans="1:18" s="332" customFormat="1" x14ac:dyDescent="0.3">
      <c r="A17" s="72" t="s">
        <v>64</v>
      </c>
      <c r="B17" s="40">
        <f>MAX(B36,B50,B64,B78,B92)</f>
        <v>0</v>
      </c>
      <c r="C17" s="40">
        <f>MAX(C36,C50,C64,C78,C92)</f>
        <v>0</v>
      </c>
      <c r="D17" s="40">
        <f t="shared" ref="D17:D26" si="0">$G$8*D36+$G$9*D50+$G$10*D64+$G$11*D78+$G$12*D92</f>
        <v>0</v>
      </c>
      <c r="E17" s="41">
        <f t="shared" ref="E17:E26" si="1">D17*$G$5/1000</f>
        <v>0</v>
      </c>
      <c r="F17" s="41">
        <f>IF($H17="Y1",$B$10,IF($H17="Y2",$B$10+$C$10,IF($H17="Y",$B$13,IF($H17="N",0))))</f>
        <v>0</v>
      </c>
      <c r="G17" s="41">
        <f>E17-F17</f>
        <v>0</v>
      </c>
      <c r="H17" s="42" t="s">
        <v>14</v>
      </c>
      <c r="I17" s="41">
        <f>IF(OR(H17="Y",H17="Y1",H17="Y2"),E17,0)</f>
        <v>0</v>
      </c>
      <c r="J17" s="43"/>
      <c r="K17" s="43"/>
      <c r="M17" s="44"/>
      <c r="N17" s="45"/>
      <c r="O17" s="45"/>
      <c r="P17" s="45"/>
      <c r="Q17" s="33"/>
      <c r="R17" s="39"/>
    </row>
    <row r="18" spans="1:18" s="332" customFormat="1" x14ac:dyDescent="0.3">
      <c r="A18" s="72" t="s">
        <v>65</v>
      </c>
      <c r="B18" s="40">
        <f t="shared" ref="B18:C26" si="2">MAX(B37,B51,B65,B79,B93)</f>
        <v>0</v>
      </c>
      <c r="C18" s="40">
        <f t="shared" si="2"/>
        <v>0</v>
      </c>
      <c r="D18" s="40">
        <f t="shared" si="0"/>
        <v>0</v>
      </c>
      <c r="E18" s="41">
        <f t="shared" si="1"/>
        <v>0</v>
      </c>
      <c r="F18" s="41">
        <f t="shared" ref="F18:F26" si="3">IF($H18="Y1",$B$10,IF($H18="Y2",$B$10+$C$10,IF($H18="Y",$B$13,IF($H18="N",0))))</f>
        <v>0</v>
      </c>
      <c r="G18" s="41">
        <f t="shared" ref="G18:G26" si="4">E18-F18</f>
        <v>0</v>
      </c>
      <c r="H18" s="42" t="s">
        <v>14</v>
      </c>
      <c r="I18" s="41">
        <f t="shared" ref="I18:I26" si="5">IF(OR(H18="Y",H18="Y1",H18="Y2"),E18,0)</f>
        <v>0</v>
      </c>
      <c r="J18" s="43"/>
      <c r="K18" s="43"/>
      <c r="M18" s="44"/>
      <c r="N18" s="45"/>
      <c r="O18" s="45"/>
      <c r="P18" s="45"/>
      <c r="Q18" s="33"/>
      <c r="R18" s="39"/>
    </row>
    <row r="19" spans="1:18" s="332" customFormat="1" x14ac:dyDescent="0.3">
      <c r="A19" s="72" t="s">
        <v>66</v>
      </c>
      <c r="B19" s="40">
        <f t="shared" si="2"/>
        <v>0</v>
      </c>
      <c r="C19" s="40">
        <f t="shared" si="2"/>
        <v>0</v>
      </c>
      <c r="D19" s="40">
        <f t="shared" si="0"/>
        <v>0</v>
      </c>
      <c r="E19" s="41">
        <f t="shared" si="1"/>
        <v>0</v>
      </c>
      <c r="F19" s="41">
        <f t="shared" si="3"/>
        <v>0</v>
      </c>
      <c r="G19" s="41">
        <f t="shared" si="4"/>
        <v>0</v>
      </c>
      <c r="H19" s="42" t="s">
        <v>14</v>
      </c>
      <c r="I19" s="41">
        <f t="shared" si="5"/>
        <v>0</v>
      </c>
      <c r="J19" s="43"/>
      <c r="K19" s="43"/>
      <c r="M19" s="44"/>
      <c r="N19" s="45"/>
      <c r="O19" s="45"/>
      <c r="P19" s="45"/>
      <c r="Q19" s="33"/>
      <c r="R19" s="39"/>
    </row>
    <row r="20" spans="1:18" s="332" customFormat="1" x14ac:dyDescent="0.3">
      <c r="A20" s="72" t="s">
        <v>67</v>
      </c>
      <c r="B20" s="40">
        <f t="shared" si="2"/>
        <v>0</v>
      </c>
      <c r="C20" s="40">
        <f t="shared" si="2"/>
        <v>0</v>
      </c>
      <c r="D20" s="40">
        <f t="shared" si="0"/>
        <v>0</v>
      </c>
      <c r="E20" s="41">
        <f t="shared" si="1"/>
        <v>0</v>
      </c>
      <c r="F20" s="41">
        <f t="shared" si="3"/>
        <v>0</v>
      </c>
      <c r="G20" s="41">
        <f t="shared" si="4"/>
        <v>0</v>
      </c>
      <c r="H20" s="42" t="s">
        <v>14</v>
      </c>
      <c r="I20" s="41">
        <f t="shared" si="5"/>
        <v>0</v>
      </c>
      <c r="J20" s="43"/>
      <c r="K20" s="43"/>
      <c r="M20" s="44"/>
      <c r="N20" s="45"/>
      <c r="O20" s="45"/>
      <c r="P20" s="45"/>
      <c r="Q20" s="33"/>
      <c r="R20" s="39"/>
    </row>
    <row r="21" spans="1:18" s="332" customFormat="1" x14ac:dyDescent="0.3">
      <c r="A21" s="72" t="s">
        <v>68</v>
      </c>
      <c r="B21" s="40">
        <f t="shared" si="2"/>
        <v>294.98000000000025</v>
      </c>
      <c r="C21" s="40">
        <f t="shared" si="2"/>
        <v>1065.1399999999976</v>
      </c>
      <c r="D21" s="40">
        <f t="shared" si="0"/>
        <v>448.65561599999967</v>
      </c>
      <c r="E21" s="41">
        <f t="shared" si="1"/>
        <v>27.794215411199982</v>
      </c>
      <c r="F21" s="41">
        <f t="shared" si="3"/>
        <v>3.3988117207194719</v>
      </c>
      <c r="G21" s="41">
        <f t="shared" si="4"/>
        <v>24.39540369048051</v>
      </c>
      <c r="H21" s="42" t="s">
        <v>49</v>
      </c>
      <c r="I21" s="41">
        <f t="shared" si="5"/>
        <v>27.794215411199982</v>
      </c>
      <c r="J21" s="43"/>
      <c r="K21" s="43"/>
      <c r="M21" s="44"/>
      <c r="N21" s="45"/>
      <c r="O21" s="45"/>
      <c r="P21" s="45"/>
      <c r="Q21" s="33"/>
      <c r="R21" s="39"/>
    </row>
    <row r="22" spans="1:18" s="332" customFormat="1" x14ac:dyDescent="0.3">
      <c r="A22" s="72" t="s">
        <v>69</v>
      </c>
      <c r="B22" s="40">
        <f t="shared" si="2"/>
        <v>296.49999999999989</v>
      </c>
      <c r="C22" s="40">
        <f t="shared" si="2"/>
        <v>1239.25</v>
      </c>
      <c r="D22" s="40">
        <f t="shared" si="0"/>
        <v>454.6757599999994</v>
      </c>
      <c r="E22" s="41">
        <f t="shared" si="1"/>
        <v>28.167163331999962</v>
      </c>
      <c r="F22" s="41">
        <f t="shared" si="3"/>
        <v>3.3988117207194719</v>
      </c>
      <c r="G22" s="41">
        <f t="shared" si="4"/>
        <v>24.76835161128049</v>
      </c>
      <c r="H22" s="42" t="s">
        <v>49</v>
      </c>
      <c r="I22" s="41">
        <f t="shared" si="5"/>
        <v>28.167163331999962</v>
      </c>
      <c r="J22" s="43"/>
      <c r="K22" s="43"/>
      <c r="M22" s="44"/>
      <c r="N22" s="45"/>
      <c r="O22" s="45"/>
      <c r="P22" s="45"/>
      <c r="Q22" s="33"/>
      <c r="R22" s="39"/>
    </row>
    <row r="23" spans="1:18" s="332" customFormat="1" x14ac:dyDescent="0.3">
      <c r="A23" s="72" t="s">
        <v>70</v>
      </c>
      <c r="B23" s="40">
        <f t="shared" si="2"/>
        <v>277.9100000000002</v>
      </c>
      <c r="C23" s="40">
        <f t="shared" si="2"/>
        <v>1338.2499999999964</v>
      </c>
      <c r="D23" s="40">
        <f t="shared" si="0"/>
        <v>567.71006399999931</v>
      </c>
      <c r="E23" s="41">
        <f t="shared" si="1"/>
        <v>35.169638464799959</v>
      </c>
      <c r="F23" s="41">
        <f t="shared" si="3"/>
        <v>3.3988117207194719</v>
      </c>
      <c r="G23" s="41">
        <f t="shared" si="4"/>
        <v>31.770826744080487</v>
      </c>
      <c r="H23" s="42" t="s">
        <v>49</v>
      </c>
      <c r="I23" s="41">
        <f t="shared" si="5"/>
        <v>35.169638464799959</v>
      </c>
      <c r="J23" s="43"/>
      <c r="K23" s="43"/>
      <c r="M23" s="44"/>
      <c r="N23" s="45"/>
      <c r="O23" s="45"/>
      <c r="P23" s="45"/>
      <c r="Q23" s="33"/>
      <c r="R23" s="39"/>
    </row>
    <row r="24" spans="1:18" s="332" customFormat="1" x14ac:dyDescent="0.3">
      <c r="A24" s="72" t="s">
        <v>71</v>
      </c>
      <c r="B24" s="40">
        <f t="shared" si="2"/>
        <v>367.42999999999995</v>
      </c>
      <c r="C24" s="40">
        <f t="shared" si="2"/>
        <v>2901.1499999999978</v>
      </c>
      <c r="D24" s="40">
        <f t="shared" si="0"/>
        <v>921.05992000000037</v>
      </c>
      <c r="E24" s="41">
        <f t="shared" si="1"/>
        <v>57.059662044000028</v>
      </c>
      <c r="F24" s="41">
        <f t="shared" si="3"/>
        <v>24.402979117108156</v>
      </c>
      <c r="G24" s="41">
        <f t="shared" si="4"/>
        <v>32.656682926891875</v>
      </c>
      <c r="H24" s="46" t="s">
        <v>13</v>
      </c>
      <c r="I24" s="41">
        <f t="shared" si="5"/>
        <v>57.059662044000028</v>
      </c>
      <c r="J24" s="43"/>
      <c r="K24" s="43"/>
      <c r="M24" s="44"/>
      <c r="N24" s="45"/>
      <c r="O24" s="45"/>
      <c r="P24" s="45"/>
      <c r="Q24" s="33"/>
      <c r="R24" s="39"/>
    </row>
    <row r="25" spans="1:18" s="332" customFormat="1" x14ac:dyDescent="0.3">
      <c r="A25" s="72" t="s">
        <v>72</v>
      </c>
      <c r="B25" s="40">
        <f t="shared" si="2"/>
        <v>151.21000000000026</v>
      </c>
      <c r="C25" s="40">
        <f t="shared" si="2"/>
        <v>3719.7100000000046</v>
      </c>
      <c r="D25" s="40">
        <f t="shared" si="0"/>
        <v>927.3755519999994</v>
      </c>
      <c r="E25" s="41">
        <f t="shared" si="1"/>
        <v>57.450915446399968</v>
      </c>
      <c r="F25" s="41">
        <f t="shared" si="3"/>
        <v>24.402979117108156</v>
      </c>
      <c r="G25" s="41">
        <f t="shared" si="4"/>
        <v>33.047936329291815</v>
      </c>
      <c r="H25" s="46" t="s">
        <v>13</v>
      </c>
      <c r="I25" s="41">
        <f t="shared" si="5"/>
        <v>57.450915446399968</v>
      </c>
      <c r="J25" s="43"/>
      <c r="K25" s="43"/>
      <c r="M25" s="44"/>
      <c r="N25" s="45"/>
      <c r="O25" s="45"/>
      <c r="P25" s="45"/>
      <c r="Q25" s="33"/>
      <c r="R25" s="39"/>
    </row>
    <row r="26" spans="1:18" s="332" customFormat="1" x14ac:dyDescent="0.3">
      <c r="A26" s="72" t="s">
        <v>73</v>
      </c>
      <c r="B26" s="40">
        <f t="shared" si="2"/>
        <v>180.3599999999999</v>
      </c>
      <c r="C26" s="40">
        <f t="shared" si="2"/>
        <v>4414.4300000000039</v>
      </c>
      <c r="D26" s="40">
        <f t="shared" si="0"/>
        <v>1068.9969120000005</v>
      </c>
      <c r="E26" s="41">
        <f t="shared" si="1"/>
        <v>66.224358698400025</v>
      </c>
      <c r="F26" s="41">
        <f t="shared" si="3"/>
        <v>24.402979117108156</v>
      </c>
      <c r="G26" s="41">
        <f t="shared" si="4"/>
        <v>41.821379581291865</v>
      </c>
      <c r="H26" s="46" t="s">
        <v>13</v>
      </c>
      <c r="I26" s="41">
        <f t="shared" si="5"/>
        <v>66.224358698400025</v>
      </c>
      <c r="J26" s="43"/>
      <c r="K26" s="43"/>
      <c r="M26" s="44"/>
      <c r="N26" s="45"/>
      <c r="O26" s="45"/>
      <c r="P26" s="45"/>
      <c r="Q26" s="33"/>
      <c r="R26" s="39"/>
    </row>
    <row r="27" spans="1:18" s="332" customFormat="1" x14ac:dyDescent="0.3">
      <c r="G27" s="57"/>
      <c r="H27" s="39">
        <f>SUM(COUNTIF(H17:H26,{"Y","Y1","Y2"}))</f>
        <v>6</v>
      </c>
      <c r="I27" s="47">
        <f>-PV($G$6,$G$7-H27,I26)</f>
        <v>636.32170876323028</v>
      </c>
      <c r="J27" s="56" t="s">
        <v>11</v>
      </c>
      <c r="K27" s="47"/>
      <c r="L27" s="39"/>
      <c r="M27" s="39"/>
      <c r="Q27" s="45"/>
    </row>
    <row r="28" spans="1:18" s="351" customFormat="1" ht="15" thickBot="1" x14ac:dyDescent="0.35">
      <c r="G28" s="57"/>
      <c r="H28" s="39"/>
      <c r="I28" s="61">
        <f>NPV($G$6,I17:I25,I26+I27)</f>
        <v>373.05070757931998</v>
      </c>
      <c r="J28" s="56" t="s">
        <v>23</v>
      </c>
      <c r="K28" s="47"/>
      <c r="L28" s="39"/>
      <c r="M28" s="39"/>
      <c r="Q28" s="45"/>
    </row>
    <row r="29" spans="1:18" s="332" customFormat="1" ht="15" thickTop="1" x14ac:dyDescent="0.3">
      <c r="I29" s="47"/>
      <c r="J29" s="39"/>
      <c r="K29" s="47"/>
      <c r="L29" s="39"/>
      <c r="M29" s="39"/>
    </row>
    <row r="30" spans="1:18" s="332" customFormat="1" ht="43.2" x14ac:dyDescent="0.3">
      <c r="A30" s="34"/>
      <c r="B30" s="63" t="s">
        <v>16</v>
      </c>
      <c r="C30" s="63" t="s">
        <v>17</v>
      </c>
      <c r="D30" s="63" t="s">
        <v>18</v>
      </c>
      <c r="E30" s="63" t="s">
        <v>19</v>
      </c>
      <c r="F30" s="63" t="s">
        <v>20</v>
      </c>
      <c r="G30" s="63" t="s">
        <v>21</v>
      </c>
      <c r="H30" s="64" t="s">
        <v>28</v>
      </c>
      <c r="I30" s="64" t="s">
        <v>37</v>
      </c>
      <c r="K30" s="39"/>
      <c r="L30" s="39"/>
      <c r="M30" s="39"/>
    </row>
    <row r="31" spans="1:18" s="332" customFormat="1" x14ac:dyDescent="0.3">
      <c r="A31" s="324" t="s">
        <v>22</v>
      </c>
      <c r="B31" s="48">
        <f>NPV($G$6,F36:F44,F45+F46)/1000</f>
        <v>228.06957927655336</v>
      </c>
      <c r="C31" s="48">
        <f>NPV($G$6,F50:F58,F59+F60)/1000</f>
        <v>721.97891579770408</v>
      </c>
      <c r="D31" s="48">
        <f>NPV($G$6,F64:F72,F73+F74)/1000</f>
        <v>260.78214382480809</v>
      </c>
      <c r="E31" s="48">
        <f>NPV($G$6,F78:F86,F87+F88)/1000</f>
        <v>489.99001591390379</v>
      </c>
      <c r="F31" s="48">
        <f>NPV($G$6,F92:F100,F101+F102)/1000</f>
        <v>164.43288308363063</v>
      </c>
      <c r="G31" s="49">
        <f>B31*G8+C31*G9+D31*G10+E31*G11+F31*G12</f>
        <v>373.05070757931998</v>
      </c>
      <c r="H31" s="336">
        <f>B12</f>
        <v>238.63797046816501</v>
      </c>
      <c r="I31" s="48">
        <f>G31-H31</f>
        <v>134.41273711115497</v>
      </c>
    </row>
    <row r="32" spans="1:18" s="332" customFormat="1" x14ac:dyDescent="0.3">
      <c r="I32" s="341"/>
    </row>
    <row r="33" spans="1:14" s="332" customFormat="1" x14ac:dyDescent="0.3"/>
    <row r="34" spans="1:14" s="332" customFormat="1" ht="15.6" x14ac:dyDescent="0.3">
      <c r="A34" s="409" t="s">
        <v>52</v>
      </c>
      <c r="B34" s="410"/>
      <c r="C34" s="410"/>
      <c r="D34" s="410"/>
      <c r="E34" s="410"/>
      <c r="F34" s="411"/>
      <c r="H34" s="406" t="s">
        <v>59</v>
      </c>
      <c r="I34" s="406"/>
      <c r="J34" s="406"/>
      <c r="K34" s="406"/>
      <c r="L34" s="406"/>
    </row>
    <row r="35" spans="1:14" s="332" customFormat="1" ht="57.6" x14ac:dyDescent="0.3">
      <c r="A35" s="322" t="s">
        <v>5</v>
      </c>
      <c r="B35" s="51" t="s">
        <v>151</v>
      </c>
      <c r="C35" s="51" t="s">
        <v>152</v>
      </c>
      <c r="D35" s="51" t="s">
        <v>153</v>
      </c>
      <c r="E35" s="51" t="s">
        <v>12</v>
      </c>
      <c r="F35" s="51" t="s">
        <v>134</v>
      </c>
      <c r="H35" s="322" t="s">
        <v>5</v>
      </c>
      <c r="I35" s="51" t="s">
        <v>75</v>
      </c>
      <c r="J35" s="51" t="s">
        <v>51</v>
      </c>
      <c r="K35" s="50" t="s">
        <v>0</v>
      </c>
      <c r="L35" s="51" t="s">
        <v>58</v>
      </c>
    </row>
    <row r="36" spans="1:14" s="332" customFormat="1" x14ac:dyDescent="0.3">
      <c r="A36" s="72" t="s">
        <v>64</v>
      </c>
      <c r="B36" s="40">
        <f>IF($E36="Y1",'Third_Line_MLTS-BATS'!B35,IF($E36="Y",Base!B32-Option7!I36,IF($E36="N",0)))</f>
        <v>0</v>
      </c>
      <c r="C36" s="386">
        <f>IF($E36="Y1",'Third_Line_MLTS-BATS'!C35,IF($E36="Y",Base!C32-Option7!J36,IF($E36="N",0)))</f>
        <v>0</v>
      </c>
      <c r="D36" s="386">
        <f>IF($E36="Y1",'Third_Line_MLTS-BATS'!D35,IF($E36="Y",Base!D32-Option7!K36,IF($E36="N",0)))</f>
        <v>0</v>
      </c>
      <c r="E36" s="323" t="str">
        <f t="shared" ref="E36:E45" si="6">H17</f>
        <v>N</v>
      </c>
      <c r="F36" s="52">
        <f>IF(OR(E36="Y",E36="Y1",E36="Y2"),D36*$G$5,0)</f>
        <v>0</v>
      </c>
      <c r="H36" s="72" t="s">
        <v>64</v>
      </c>
      <c r="I36" s="40">
        <v>552.96</v>
      </c>
      <c r="J36" s="40">
        <v>8803.0400000000009</v>
      </c>
      <c r="K36" s="40">
        <v>7345.1427199999998</v>
      </c>
      <c r="L36" s="40">
        <f t="shared" ref="L36:L45" si="7">K36*$G$5</f>
        <v>455031.59150400001</v>
      </c>
      <c r="N36" s="53"/>
    </row>
    <row r="37" spans="1:14" s="332" customFormat="1" x14ac:dyDescent="0.3">
      <c r="A37" s="72" t="s">
        <v>65</v>
      </c>
      <c r="B37" s="386">
        <f>IF($E37="Y1",'Third_Line_MLTS-BATS'!B36,IF($E37="Y",Base!B33-Option7!I37,IF($E37="N",0)))</f>
        <v>0</v>
      </c>
      <c r="C37" s="386">
        <f>IF($E37="Y1",'Third_Line_MLTS-BATS'!C36,IF($E37="Y",Base!C33-Option7!J37,IF($E37="N",0)))</f>
        <v>0</v>
      </c>
      <c r="D37" s="386">
        <f>IF($E37="Y1",'Third_Line_MLTS-BATS'!D36,IF($E37="Y",Base!D33-Option7!K37,IF($E37="N",0)))</f>
        <v>0</v>
      </c>
      <c r="E37" s="323" t="str">
        <f t="shared" si="6"/>
        <v>N</v>
      </c>
      <c r="F37" s="52">
        <f t="shared" ref="F37:F45" si="8">IF(OR(E37="Y",E37="Y1",E37="Y2"),D37*$G$5,0)</f>
        <v>0</v>
      </c>
      <c r="H37" s="72" t="s">
        <v>65</v>
      </c>
      <c r="I37" s="40">
        <v>596.1</v>
      </c>
      <c r="J37" s="40">
        <v>8964.0800000000017</v>
      </c>
      <c r="K37" s="40">
        <v>7357.0786399999997</v>
      </c>
      <c r="L37" s="40">
        <f t="shared" si="7"/>
        <v>455771.021748</v>
      </c>
    </row>
    <row r="38" spans="1:14" s="332" customFormat="1" x14ac:dyDescent="0.3">
      <c r="A38" s="72" t="s">
        <v>66</v>
      </c>
      <c r="B38" s="386">
        <f>IF($E38="Y1",'Third_Line_MLTS-BATS'!B37,IF($E38="Y",Base!B34-Option7!I38,IF($E38="N",0)))</f>
        <v>0</v>
      </c>
      <c r="C38" s="386">
        <f>IF($E38="Y1",'Third_Line_MLTS-BATS'!C37,IF($E38="Y",Base!C34-Option7!J38,IF($E38="N",0)))</f>
        <v>0</v>
      </c>
      <c r="D38" s="386">
        <f>IF($E38="Y1",'Third_Line_MLTS-BATS'!D37,IF($E38="Y",Base!D34-Option7!K38,IF($E38="N",0)))</f>
        <v>0</v>
      </c>
      <c r="E38" s="323" t="str">
        <f t="shared" si="6"/>
        <v>N</v>
      </c>
      <c r="F38" s="52">
        <f t="shared" si="8"/>
        <v>0</v>
      </c>
      <c r="H38" s="72" t="s">
        <v>66</v>
      </c>
      <c r="I38" s="40">
        <v>672.99</v>
      </c>
      <c r="J38" s="40">
        <v>9392.0000000000018</v>
      </c>
      <c r="K38" s="40">
        <v>7618.2300800000003</v>
      </c>
      <c r="L38" s="40">
        <f t="shared" si="7"/>
        <v>471949.35345600004</v>
      </c>
    </row>
    <row r="39" spans="1:14" s="332" customFormat="1" x14ac:dyDescent="0.3">
      <c r="A39" s="72" t="s">
        <v>67</v>
      </c>
      <c r="B39" s="386">
        <f>IF($E39="Y1",'Third_Line_MLTS-BATS'!B38,IF($E39="Y",Base!B35-Option7!I39,IF($E39="N",0)))</f>
        <v>0</v>
      </c>
      <c r="C39" s="386">
        <f>IF($E39="Y1",'Third_Line_MLTS-BATS'!C38,IF($E39="Y",Base!C35-Option7!J39,IF($E39="N",0)))</f>
        <v>0</v>
      </c>
      <c r="D39" s="386">
        <f>IF($E39="Y1",'Third_Line_MLTS-BATS'!D38,IF($E39="Y",Base!D35-Option7!K39,IF($E39="N",0)))</f>
        <v>0</v>
      </c>
      <c r="E39" s="323" t="str">
        <f t="shared" si="6"/>
        <v>N</v>
      </c>
      <c r="F39" s="52">
        <f t="shared" si="8"/>
        <v>0</v>
      </c>
      <c r="H39" s="72" t="s">
        <v>67</v>
      </c>
      <c r="I39" s="40">
        <v>751.99</v>
      </c>
      <c r="J39" s="40">
        <v>9590.41</v>
      </c>
      <c r="K39" s="40">
        <v>7718.7476799999995</v>
      </c>
      <c r="L39" s="40">
        <f t="shared" si="7"/>
        <v>478176.41877599998</v>
      </c>
    </row>
    <row r="40" spans="1:14" s="332" customFormat="1" x14ac:dyDescent="0.3">
      <c r="A40" s="72" t="s">
        <v>68</v>
      </c>
      <c r="B40" s="386">
        <f>IF($E40="Y1",'Third_Line_MLTS-BATS'!B39,IF($E40="Y",Base!B36-Option7!I40,IF($E40="N",0)))</f>
        <v>232.94000000000005</v>
      </c>
      <c r="C40" s="386">
        <f>IF($E40="Y1",'Third_Line_MLTS-BATS'!C39,IF($E40="Y",Base!C36-Option7!J40,IF($E40="N",0)))</f>
        <v>457.28999999999905</v>
      </c>
      <c r="D40" s="386">
        <f>IF($E40="Y1",'Third_Line_MLTS-BATS'!D39,IF($E40="Y",Base!D36-Option7!K40,IF($E40="N",0)))</f>
        <v>210.630079999999</v>
      </c>
      <c r="E40" s="323" t="str">
        <f t="shared" si="6"/>
        <v>Y1</v>
      </c>
      <c r="F40" s="52">
        <f t="shared" si="8"/>
        <v>13048.533455999939</v>
      </c>
      <c r="H40" s="72" t="s">
        <v>68</v>
      </c>
      <c r="I40" s="40">
        <v>815.96999999999991</v>
      </c>
      <c r="J40" s="40">
        <v>9903.8700000000008</v>
      </c>
      <c r="K40" s="40">
        <v>7844.9488799999999</v>
      </c>
      <c r="L40" s="40">
        <f t="shared" si="7"/>
        <v>485994.58311599999</v>
      </c>
    </row>
    <row r="41" spans="1:14" s="332" customFormat="1" x14ac:dyDescent="0.3">
      <c r="A41" s="72" t="s">
        <v>69</v>
      </c>
      <c r="B41" s="386">
        <f>IF($E41="Y1",'Third_Line_MLTS-BATS'!B40,IF($E41="Y",Base!B37-Option7!I41,IF($E41="N",0)))</f>
        <v>193.81000000000017</v>
      </c>
      <c r="C41" s="386">
        <f>IF($E41="Y1",'Third_Line_MLTS-BATS'!C40,IF($E41="Y",Base!C37-Option7!J41,IF($E41="N",0)))</f>
        <v>212.31999999999789</v>
      </c>
      <c r="D41" s="386">
        <f>IF($E41="Y1",'Third_Line_MLTS-BATS'!D40,IF($E41="Y",Base!D37-Option7!K41,IF($E41="N",0)))</f>
        <v>121.93207999999868</v>
      </c>
      <c r="E41" s="323" t="str">
        <f t="shared" si="6"/>
        <v>Y1</v>
      </c>
      <c r="F41" s="52">
        <f t="shared" si="8"/>
        <v>7553.6923559999186</v>
      </c>
      <c r="H41" s="72" t="s">
        <v>69</v>
      </c>
      <c r="I41" s="40">
        <v>978.31999999999994</v>
      </c>
      <c r="J41" s="40">
        <v>10653.27</v>
      </c>
      <c r="K41" s="40">
        <v>8270.4722399999991</v>
      </c>
      <c r="L41" s="40">
        <f t="shared" si="7"/>
        <v>512355.75526799995</v>
      </c>
    </row>
    <row r="42" spans="1:14" s="332" customFormat="1" x14ac:dyDescent="0.3">
      <c r="A42" s="72" t="s">
        <v>70</v>
      </c>
      <c r="B42" s="386">
        <f>IF($E42="Y1",'Third_Line_MLTS-BATS'!B41,IF($E42="Y",Base!B38-Option7!I42,IF($E42="N",0)))</f>
        <v>145.34999999999991</v>
      </c>
      <c r="C42" s="386">
        <f>IF($E42="Y1",'Third_Line_MLTS-BATS'!C41,IF($E42="Y",Base!C38-Option7!J42,IF($E42="N",0)))</f>
        <v>424.22999999999956</v>
      </c>
      <c r="D42" s="386">
        <f>IF($E42="Y1",'Third_Line_MLTS-BATS'!D41,IF($E42="Y",Base!D38-Option7!K42,IF($E42="N",0)))</f>
        <v>177.45152000000053</v>
      </c>
      <c r="E42" s="323" t="str">
        <f t="shared" si="6"/>
        <v>Y1</v>
      </c>
      <c r="F42" s="52">
        <f t="shared" si="8"/>
        <v>10993.121664000033</v>
      </c>
      <c r="H42" s="72" t="s">
        <v>70</v>
      </c>
      <c r="I42" s="40">
        <v>1098.23</v>
      </c>
      <c r="J42" s="40">
        <v>11728.73</v>
      </c>
      <c r="K42" s="40">
        <v>8693.2512800000004</v>
      </c>
      <c r="L42" s="40">
        <f t="shared" si="7"/>
        <v>538546.91679600009</v>
      </c>
    </row>
    <row r="43" spans="1:14" s="332" customFormat="1" x14ac:dyDescent="0.3">
      <c r="A43" s="72" t="s">
        <v>71</v>
      </c>
      <c r="B43" s="386">
        <f>IF($E43="Y1",'Third_Line_MLTS-BATS'!B42,IF($E43="Y",Base!B39-Option7!I43,IF($E43="N",0)))</f>
        <v>42.450000000000045</v>
      </c>
      <c r="C43" s="386">
        <f>IF($E43="Y1",'Third_Line_MLTS-BATS'!C42,IF($E43="Y",Base!C39-Option7!J43,IF($E43="N",0)))</f>
        <v>1391.5099999999984</v>
      </c>
      <c r="D43" s="386">
        <f>IF($E43="Y1",'Third_Line_MLTS-BATS'!D42,IF($E43="Y",Base!D39-Option7!K43,IF($E43="N",0)))</f>
        <v>774.41551999999865</v>
      </c>
      <c r="E43" s="323" t="str">
        <f t="shared" si="6"/>
        <v>Y</v>
      </c>
      <c r="F43" s="52">
        <f t="shared" si="8"/>
        <v>47975.041463999922</v>
      </c>
      <c r="H43" s="72" t="s">
        <v>71</v>
      </c>
      <c r="I43" s="40">
        <v>1229.76</v>
      </c>
      <c r="J43" s="40">
        <v>13080.9</v>
      </c>
      <c r="K43" s="40">
        <v>9230.405279999999</v>
      </c>
      <c r="L43" s="40">
        <f t="shared" si="7"/>
        <v>571823.60709599999</v>
      </c>
    </row>
    <row r="44" spans="1:14" s="332" customFormat="1" x14ac:dyDescent="0.3">
      <c r="A44" s="72" t="s">
        <v>72</v>
      </c>
      <c r="B44" s="386">
        <f>IF($E44="Y1",'Third_Line_MLTS-BATS'!B43,IF($E44="Y",Base!B40-Option7!I44,IF($E44="N",0)))</f>
        <v>58.360000000000127</v>
      </c>
      <c r="C44" s="386">
        <f>IF($E44="Y1",'Third_Line_MLTS-BATS'!C43,IF($E44="Y",Base!C40-Option7!J44,IF($E44="N",0)))</f>
        <v>1166.659999999998</v>
      </c>
      <c r="D44" s="386">
        <f>IF($E44="Y1",'Third_Line_MLTS-BATS'!D43,IF($E44="Y",Base!D40-Option7!K44,IF($E44="N",0)))</f>
        <v>648.59240000000136</v>
      </c>
      <c r="E44" s="323" t="str">
        <f t="shared" si="6"/>
        <v>Y</v>
      </c>
      <c r="F44" s="52">
        <f t="shared" si="8"/>
        <v>40180.299180000089</v>
      </c>
      <c r="H44" s="72" t="s">
        <v>72</v>
      </c>
      <c r="I44" s="40">
        <v>1250.57</v>
      </c>
      <c r="J44" s="40">
        <v>14434.61</v>
      </c>
      <c r="K44" s="40">
        <v>9616.7866399999984</v>
      </c>
      <c r="L44" s="40">
        <f t="shared" si="7"/>
        <v>595759.93234799989</v>
      </c>
    </row>
    <row r="45" spans="1:14" s="332" customFormat="1" x14ac:dyDescent="0.3">
      <c r="A45" s="72" t="s">
        <v>73</v>
      </c>
      <c r="B45" s="386">
        <f>IF($E45="Y1",'Third_Line_MLTS-BATS'!B44,IF($E45="Y",Base!B41-Option7!I45,IF($E45="N",0)))</f>
        <v>37.819999999999936</v>
      </c>
      <c r="C45" s="386">
        <f>IF($E45="Y1",'Third_Line_MLTS-BATS'!C44,IF($E45="Y",Base!C41-Option7!J45,IF($E45="N",0)))</f>
        <v>1266.6899999999987</v>
      </c>
      <c r="D45" s="386">
        <f>IF($E45="Y1",'Third_Line_MLTS-BATS'!D44,IF($E45="Y",Base!D41-Option7!K45,IF($E45="N",0)))</f>
        <v>673.46136000000115</v>
      </c>
      <c r="E45" s="323" t="str">
        <f t="shared" si="6"/>
        <v>Y</v>
      </c>
      <c r="F45" s="52">
        <f t="shared" si="8"/>
        <v>41720.931252000075</v>
      </c>
      <c r="H45" s="72" t="s">
        <v>73</v>
      </c>
      <c r="I45" s="40">
        <v>1395.4599999999998</v>
      </c>
      <c r="J45" s="40">
        <v>16796.830000000002</v>
      </c>
      <c r="K45" s="40">
        <v>10623.449199999999</v>
      </c>
      <c r="L45" s="40">
        <f t="shared" si="7"/>
        <v>658122.67793999997</v>
      </c>
    </row>
    <row r="46" spans="1:14" s="332" customFormat="1" ht="15" thickBot="1" x14ac:dyDescent="0.35">
      <c r="E46" s="60">
        <f>SUM(COUNTIF(E36:E45,{"Y","Y1","Y2"}))</f>
        <v>6</v>
      </c>
      <c r="F46" s="62">
        <f>-PV($G$6,$G$7-E46,F45)</f>
        <v>400878.69157587388</v>
      </c>
      <c r="G46" s="55" t="s">
        <v>11</v>
      </c>
    </row>
    <row r="47" spans="1:14" s="332" customFormat="1" ht="15" thickTop="1" x14ac:dyDescent="0.3"/>
    <row r="48" spans="1:14" s="332" customFormat="1" ht="15.6" x14ac:dyDescent="0.3">
      <c r="A48" s="409" t="s">
        <v>56</v>
      </c>
      <c r="B48" s="410"/>
      <c r="C48" s="410"/>
      <c r="D48" s="410"/>
      <c r="E48" s="410"/>
      <c r="F48" s="411"/>
      <c r="H48" s="406" t="s">
        <v>60</v>
      </c>
      <c r="I48" s="406"/>
      <c r="J48" s="406"/>
      <c r="K48" s="406"/>
      <c r="L48" s="406"/>
    </row>
    <row r="49" spans="1:12" s="332" customFormat="1" ht="57.6" x14ac:dyDescent="0.3">
      <c r="A49" s="322" t="s">
        <v>5</v>
      </c>
      <c r="B49" s="51" t="s">
        <v>151</v>
      </c>
      <c r="C49" s="51" t="s">
        <v>152</v>
      </c>
      <c r="D49" s="51" t="s">
        <v>153</v>
      </c>
      <c r="E49" s="51" t="s">
        <v>12</v>
      </c>
      <c r="F49" s="51" t="s">
        <v>134</v>
      </c>
      <c r="H49" s="322" t="s">
        <v>5</v>
      </c>
      <c r="I49" s="51" t="s">
        <v>75</v>
      </c>
      <c r="J49" s="51" t="s">
        <v>51</v>
      </c>
      <c r="K49" s="50" t="s">
        <v>0</v>
      </c>
      <c r="L49" s="51" t="s">
        <v>58</v>
      </c>
    </row>
    <row r="50" spans="1:12" s="332" customFormat="1" x14ac:dyDescent="0.3">
      <c r="A50" s="72" t="s">
        <v>64</v>
      </c>
      <c r="B50" s="386">
        <f>IF($E50="Y1",'Third_Line_MLTS-BATS'!B49,IF($E50="Y",Base!B46-Option7!I50,IF($E50="N",0)))</f>
        <v>0</v>
      </c>
      <c r="C50" s="386">
        <f>IF($E50="Y1",'Third_Line_MLTS-BATS'!C49,IF($E50="Y",Base!C46-Option7!J50,IF($E50="N",0)))</f>
        <v>0</v>
      </c>
      <c r="D50" s="386">
        <f>IF($E50="Y1",'Third_Line_MLTS-BATS'!D49,IF($E50="Y",Base!D46-Option7!K50,IF($E50="N",0)))</f>
        <v>0</v>
      </c>
      <c r="E50" s="323" t="str">
        <f>E36</f>
        <v>N</v>
      </c>
      <c r="F50" s="52">
        <f>IF(OR(E50="Y",E50="Y1",E50="Y2"),D50*$G$5,0)</f>
        <v>0</v>
      </c>
      <c r="H50" s="72" t="s">
        <v>64</v>
      </c>
      <c r="I50" s="40">
        <v>552.96</v>
      </c>
      <c r="J50" s="40">
        <v>8803.0400000000009</v>
      </c>
      <c r="K50" s="40">
        <v>7345.1427199999998</v>
      </c>
      <c r="L50" s="40">
        <f t="shared" ref="L50:L59" si="9">K50*$G$5</f>
        <v>455031.59150400001</v>
      </c>
    </row>
    <row r="51" spans="1:12" s="332" customFormat="1" x14ac:dyDescent="0.3">
      <c r="A51" s="72" t="s">
        <v>65</v>
      </c>
      <c r="B51" s="386">
        <f>IF($E51="Y1",'Third_Line_MLTS-BATS'!B50,IF($E51="Y",Base!B47-Option7!I51,IF($E51="N",0)))</f>
        <v>0</v>
      </c>
      <c r="C51" s="386">
        <f>IF($E51="Y1",'Third_Line_MLTS-BATS'!C50,IF($E51="Y",Base!C47-Option7!J51,IF($E51="N",0)))</f>
        <v>0</v>
      </c>
      <c r="D51" s="386">
        <f>IF($E51="Y1",'Third_Line_MLTS-BATS'!D50,IF($E51="Y",Base!D47-Option7!K51,IF($E51="N",0)))</f>
        <v>0</v>
      </c>
      <c r="E51" s="323" t="str">
        <f t="shared" ref="E51:E59" si="10">E37</f>
        <v>N</v>
      </c>
      <c r="F51" s="52">
        <f t="shared" ref="F51:F59" si="11">IF(OR(E51="Y",E51="Y1",E51="Y2"),D51*$G$5,0)</f>
        <v>0</v>
      </c>
      <c r="H51" s="72" t="s">
        <v>65</v>
      </c>
      <c r="I51" s="40">
        <v>597.08000000000004</v>
      </c>
      <c r="J51" s="40">
        <v>8965.130000000001</v>
      </c>
      <c r="K51" s="40">
        <v>7356.6879200000003</v>
      </c>
      <c r="L51" s="40">
        <f t="shared" si="9"/>
        <v>455746.81664400006</v>
      </c>
    </row>
    <row r="52" spans="1:12" s="332" customFormat="1" x14ac:dyDescent="0.3">
      <c r="A52" s="72" t="s">
        <v>66</v>
      </c>
      <c r="B52" s="386">
        <f>IF($E52="Y1",'Third_Line_MLTS-BATS'!B51,IF($E52="Y",Base!B48-Option7!I52,IF($E52="N",0)))</f>
        <v>0</v>
      </c>
      <c r="C52" s="386">
        <f>IF($E52="Y1",'Third_Line_MLTS-BATS'!C51,IF($E52="Y",Base!C48-Option7!J52,IF($E52="N",0)))</f>
        <v>0</v>
      </c>
      <c r="D52" s="386">
        <f>IF($E52="Y1",'Third_Line_MLTS-BATS'!D51,IF($E52="Y",Base!D48-Option7!K52,IF($E52="N",0)))</f>
        <v>0</v>
      </c>
      <c r="E52" s="323" t="str">
        <f t="shared" si="10"/>
        <v>N</v>
      </c>
      <c r="F52" s="52">
        <f t="shared" si="11"/>
        <v>0</v>
      </c>
      <c r="H52" s="72" t="s">
        <v>66</v>
      </c>
      <c r="I52" s="40">
        <v>668.42000000000007</v>
      </c>
      <c r="J52" s="40">
        <v>9386.9800000000014</v>
      </c>
      <c r="K52" s="40">
        <v>7615.37464</v>
      </c>
      <c r="L52" s="40">
        <f t="shared" si="9"/>
        <v>471772.45894800004</v>
      </c>
    </row>
    <row r="53" spans="1:12" s="332" customFormat="1" x14ac:dyDescent="0.3">
      <c r="A53" s="72" t="s">
        <v>67</v>
      </c>
      <c r="B53" s="386">
        <f>IF($E53="Y1",'Third_Line_MLTS-BATS'!B52,IF($E53="Y",Base!B49-Option7!I53,IF($E53="N",0)))</f>
        <v>0</v>
      </c>
      <c r="C53" s="386">
        <f>IF($E53="Y1",'Third_Line_MLTS-BATS'!C52,IF($E53="Y",Base!C49-Option7!J53,IF($E53="N",0)))</f>
        <v>0</v>
      </c>
      <c r="D53" s="386">
        <f>IF($E53="Y1",'Third_Line_MLTS-BATS'!D52,IF($E53="Y",Base!D49-Option7!K53,IF($E53="N",0)))</f>
        <v>0</v>
      </c>
      <c r="E53" s="323" t="str">
        <f t="shared" si="10"/>
        <v>N</v>
      </c>
      <c r="F53" s="52">
        <f t="shared" si="11"/>
        <v>0</v>
      </c>
      <c r="H53" s="72" t="s">
        <v>67</v>
      </c>
      <c r="I53" s="40">
        <v>737.82</v>
      </c>
      <c r="J53" s="40">
        <v>9748.6100000000024</v>
      </c>
      <c r="K53" s="40">
        <v>7865.8603999999996</v>
      </c>
      <c r="L53" s="40">
        <f t="shared" si="9"/>
        <v>487290.05177999998</v>
      </c>
    </row>
    <row r="54" spans="1:12" s="332" customFormat="1" x14ac:dyDescent="0.3">
      <c r="A54" s="72" t="s">
        <v>68</v>
      </c>
      <c r="B54" s="386">
        <f>IF($E54="Y1",'Third_Line_MLTS-BATS'!B53,IF($E54="Y",Base!B50-Option7!I54,IF($E54="N",0)))</f>
        <v>54.610000000000127</v>
      </c>
      <c r="C54" s="386">
        <f>IF($E54="Y1",'Third_Line_MLTS-BATS'!C53,IF($E54="Y",Base!C50-Option7!J54,IF($E54="N",0)))</f>
        <v>1065.1399999999976</v>
      </c>
      <c r="D54" s="386">
        <f>IF($E54="Y1",'Third_Line_MLTS-BATS'!D53,IF($E54="Y",Base!D50-Option7!K54,IF($E54="N",0)))</f>
        <v>522.57319999999891</v>
      </c>
      <c r="E54" s="323" t="str">
        <f t="shared" si="10"/>
        <v>Y1</v>
      </c>
      <c r="F54" s="52">
        <f t="shared" si="11"/>
        <v>32373.409739999934</v>
      </c>
      <c r="H54" s="72" t="s">
        <v>68</v>
      </c>
      <c r="I54" s="40">
        <v>982.23</v>
      </c>
      <c r="J54" s="40">
        <v>10365.01</v>
      </c>
      <c r="K54" s="40">
        <v>8185.1797599999991</v>
      </c>
      <c r="L54" s="40">
        <f t="shared" si="9"/>
        <v>507071.88613199996</v>
      </c>
    </row>
    <row r="55" spans="1:12" s="332" customFormat="1" x14ac:dyDescent="0.3">
      <c r="A55" s="72" t="s">
        <v>69</v>
      </c>
      <c r="B55" s="386">
        <f>IF($E55="Y1",'Third_Line_MLTS-BATS'!B54,IF($E55="Y",Base!B51-Option7!I55,IF($E55="N",0)))</f>
        <v>233.08000000000015</v>
      </c>
      <c r="C55" s="386">
        <f>IF($E55="Y1",'Third_Line_MLTS-BATS'!C54,IF($E55="Y",Base!C51-Option7!J55,IF($E55="N",0)))</f>
        <v>1239.25</v>
      </c>
      <c r="D55" s="386">
        <f>IF($E55="Y1",'Third_Line_MLTS-BATS'!D54,IF($E55="Y",Base!D51-Option7!K55,IF($E55="N",0)))</f>
        <v>526.88703999999962</v>
      </c>
      <c r="E55" s="323" t="str">
        <f t="shared" si="10"/>
        <v>Y1</v>
      </c>
      <c r="F55" s="52">
        <f t="shared" si="11"/>
        <v>32640.652127999976</v>
      </c>
      <c r="H55" s="72" t="s">
        <v>69</v>
      </c>
      <c r="I55" s="40">
        <v>1043.9299999999998</v>
      </c>
      <c r="J55" s="40">
        <v>10837.240000000002</v>
      </c>
      <c r="K55" s="40">
        <v>8501.763280000001</v>
      </c>
      <c r="L55" s="40">
        <f t="shared" si="9"/>
        <v>526684.23519600008</v>
      </c>
    </row>
    <row r="56" spans="1:12" s="332" customFormat="1" x14ac:dyDescent="0.3">
      <c r="A56" s="72" t="s">
        <v>70</v>
      </c>
      <c r="B56" s="386">
        <f>IF($E56="Y1",'Third_Line_MLTS-BATS'!B55,IF($E56="Y",Base!B52-Option7!I56,IF($E56="N",0)))</f>
        <v>103.73999999999978</v>
      </c>
      <c r="C56" s="386">
        <f>IF($E56="Y1",'Third_Line_MLTS-BATS'!C55,IF($E56="Y",Base!C52-Option7!J56,IF($E56="N",0)))</f>
        <v>1338.2499999999964</v>
      </c>
      <c r="D56" s="386">
        <f>IF($E56="Y1",'Third_Line_MLTS-BATS'!D55,IF($E56="Y",Base!D52-Option7!K56,IF($E56="N",0)))</f>
        <v>741.10287999999855</v>
      </c>
      <c r="E56" s="323" t="str">
        <f t="shared" si="10"/>
        <v>Y1</v>
      </c>
      <c r="F56" s="52">
        <f t="shared" si="11"/>
        <v>45911.323415999912</v>
      </c>
      <c r="H56" s="72" t="s">
        <v>70</v>
      </c>
      <c r="I56" s="40">
        <v>1197.52</v>
      </c>
      <c r="J56" s="40">
        <v>12170.55</v>
      </c>
      <c r="K56" s="40">
        <v>8964.7739999999994</v>
      </c>
      <c r="L56" s="40">
        <f t="shared" si="9"/>
        <v>555367.74930000002</v>
      </c>
    </row>
    <row r="57" spans="1:12" s="332" customFormat="1" x14ac:dyDescent="0.3">
      <c r="A57" s="72" t="s">
        <v>71</v>
      </c>
      <c r="B57" s="386">
        <f>IF($E57="Y1",'Third_Line_MLTS-BATS'!B56,IF($E57="Y",Base!B53-Option7!I57,IF($E57="N",0)))</f>
        <v>123.17000000000007</v>
      </c>
      <c r="C57" s="386">
        <f>IF($E57="Y1",'Third_Line_MLTS-BATS'!C56,IF($E57="Y",Base!C53-Option7!J57,IF($E57="N",0)))</f>
        <v>2901.1499999999978</v>
      </c>
      <c r="D57" s="386">
        <f>IF($E57="Y1",'Third_Line_MLTS-BATS'!D56,IF($E57="Y",Base!D53-Option7!K57,IF($E57="N",0)))</f>
        <v>1579.0423200000005</v>
      </c>
      <c r="E57" s="323" t="str">
        <f t="shared" si="10"/>
        <v>Y</v>
      </c>
      <c r="F57" s="52">
        <f t="shared" si="11"/>
        <v>97821.671724000029</v>
      </c>
      <c r="H57" s="72" t="s">
        <v>71</v>
      </c>
      <c r="I57" s="40">
        <v>1318.34</v>
      </c>
      <c r="J57" s="40">
        <v>13616.23</v>
      </c>
      <c r="K57" s="40">
        <v>9537.0157599999984</v>
      </c>
      <c r="L57" s="40">
        <f t="shared" si="9"/>
        <v>590818.1263319999</v>
      </c>
    </row>
    <row r="58" spans="1:12" s="332" customFormat="1" x14ac:dyDescent="0.3">
      <c r="A58" s="72" t="s">
        <v>72</v>
      </c>
      <c r="B58" s="386">
        <f>IF($E58="Y1",'Third_Line_MLTS-BATS'!B57,IF($E58="Y",Base!B54-Option7!I58,IF($E58="N",0)))</f>
        <v>132.05000000000018</v>
      </c>
      <c r="C58" s="386">
        <f>IF($E58="Y1",'Third_Line_MLTS-BATS'!C57,IF($E58="Y",Base!C54-Option7!J58,IF($E58="N",0)))</f>
        <v>3719.7100000000046</v>
      </c>
      <c r="D58" s="386">
        <f>IF($E58="Y1",'Third_Line_MLTS-BATS'!D57,IF($E58="Y",Base!D54-Option7!K58,IF($E58="N",0)))</f>
        <v>1852.3628800000006</v>
      </c>
      <c r="E58" s="323" t="str">
        <f t="shared" si="10"/>
        <v>Y</v>
      </c>
      <c r="F58" s="52">
        <f t="shared" si="11"/>
        <v>114753.88041600004</v>
      </c>
      <c r="H58" s="72" t="s">
        <v>72</v>
      </c>
      <c r="I58" s="40">
        <v>1533.85</v>
      </c>
      <c r="J58" s="40">
        <v>15445.519999999999</v>
      </c>
      <c r="K58" s="40">
        <v>10461.839839999999</v>
      </c>
      <c r="L58" s="40">
        <f t="shared" si="9"/>
        <v>648110.97808799997</v>
      </c>
    </row>
    <row r="59" spans="1:12" s="332" customFormat="1" x14ac:dyDescent="0.3">
      <c r="A59" s="72" t="s">
        <v>73</v>
      </c>
      <c r="B59" s="386">
        <f>IF($E59="Y1",'Third_Line_MLTS-BATS'!B58,IF($E59="Y",Base!B55-Option7!I59,IF($E59="N",0)))</f>
        <v>161.60000000000014</v>
      </c>
      <c r="C59" s="386">
        <f>IF($E59="Y1",'Third_Line_MLTS-BATS'!C58,IF($E59="Y",Base!C55-Option7!J59,IF($E59="N",0)))</f>
        <v>4414.4300000000039</v>
      </c>
      <c r="D59" s="386">
        <f>IF($E59="Y1",'Third_Line_MLTS-BATS'!D58,IF($E59="Y",Base!D55-Option7!K59,IF($E59="N",0)))</f>
        <v>2232.1916000000019</v>
      </c>
      <c r="E59" s="323" t="str">
        <f t="shared" si="10"/>
        <v>Y</v>
      </c>
      <c r="F59" s="52">
        <f t="shared" si="11"/>
        <v>138284.26962000012</v>
      </c>
      <c r="H59" s="72" t="s">
        <v>73</v>
      </c>
      <c r="I59" s="40">
        <v>1788.2299999999998</v>
      </c>
      <c r="J59" s="40">
        <v>18742.609999999997</v>
      </c>
      <c r="K59" s="40">
        <v>11760.136159999998</v>
      </c>
      <c r="L59" s="40">
        <f t="shared" si="9"/>
        <v>728540.43511199998</v>
      </c>
    </row>
    <row r="60" spans="1:12" s="332" customFormat="1" ht="15" thickBot="1" x14ac:dyDescent="0.35">
      <c r="E60" s="60">
        <f>SUM(COUNTIF(E50:E59,{"Y","Y1","Y2"}))</f>
        <v>6</v>
      </c>
      <c r="F60" s="62">
        <f>-PV($G$6,$G$7-E60,F59)</f>
        <v>1328714.7579701613</v>
      </c>
      <c r="G60" s="55" t="s">
        <v>11</v>
      </c>
    </row>
    <row r="61" spans="1:12" s="332" customFormat="1" ht="15" thickTop="1" x14ac:dyDescent="0.3"/>
    <row r="62" spans="1:12" s="332" customFormat="1" ht="15.6" x14ac:dyDescent="0.3">
      <c r="A62" s="409" t="s">
        <v>55</v>
      </c>
      <c r="B62" s="410"/>
      <c r="C62" s="410"/>
      <c r="D62" s="410"/>
      <c r="E62" s="410"/>
      <c r="F62" s="411"/>
      <c r="H62" s="406" t="s">
        <v>61</v>
      </c>
      <c r="I62" s="406"/>
      <c r="J62" s="406"/>
      <c r="K62" s="406"/>
      <c r="L62" s="406"/>
    </row>
    <row r="63" spans="1:12" s="332" customFormat="1" ht="57.6" x14ac:dyDescent="0.3">
      <c r="A63" s="322" t="s">
        <v>5</v>
      </c>
      <c r="B63" s="51" t="s">
        <v>151</v>
      </c>
      <c r="C63" s="51" t="s">
        <v>152</v>
      </c>
      <c r="D63" s="51" t="s">
        <v>153</v>
      </c>
      <c r="E63" s="51" t="s">
        <v>12</v>
      </c>
      <c r="F63" s="51" t="s">
        <v>134</v>
      </c>
      <c r="H63" s="322" t="s">
        <v>5</v>
      </c>
      <c r="I63" s="51" t="s">
        <v>75</v>
      </c>
      <c r="J63" s="51" t="s">
        <v>51</v>
      </c>
      <c r="K63" s="50" t="s">
        <v>0</v>
      </c>
      <c r="L63" s="51" t="s">
        <v>58</v>
      </c>
    </row>
    <row r="64" spans="1:12" s="332" customFormat="1" x14ac:dyDescent="0.3">
      <c r="A64" s="72" t="s">
        <v>64</v>
      </c>
      <c r="B64" s="386">
        <f>IF($E64="Y1",'Third_Line_MLTS-BATS'!B63,IF($E64="Y",Base!B60-Option7!I64,IF($E64="N",0)))</f>
        <v>0</v>
      </c>
      <c r="C64" s="386">
        <f>IF($E64="Y1",'Third_Line_MLTS-BATS'!C63,IF($E64="Y",Base!C60-Option7!J64,IF($E64="N",0)))</f>
        <v>0</v>
      </c>
      <c r="D64" s="386">
        <f>IF($E64="Y1",'Third_Line_MLTS-BATS'!D63,IF($E64="Y",Base!D60-Option7!K64,IF($E64="N",0)))</f>
        <v>0</v>
      </c>
      <c r="E64" s="323" t="str">
        <f>E36</f>
        <v>N</v>
      </c>
      <c r="F64" s="52">
        <f>IF(OR(E64="Y",E64="Y1",E64="Y2"),D64*$G$5,0)</f>
        <v>0</v>
      </c>
      <c r="H64" s="72" t="s">
        <v>64</v>
      </c>
      <c r="I64" s="40">
        <v>534.23</v>
      </c>
      <c r="J64" s="40">
        <v>8682.9199999999983</v>
      </c>
      <c r="K64" s="40">
        <v>7242.3809599999986</v>
      </c>
      <c r="L64" s="40">
        <f t="shared" ref="L64:L73" si="12">K64*$G$5</f>
        <v>448665.50047199993</v>
      </c>
    </row>
    <row r="65" spans="1:15" s="332" customFormat="1" x14ac:dyDescent="0.3">
      <c r="A65" s="72" t="s">
        <v>65</v>
      </c>
      <c r="B65" s="386">
        <f>IF($E65="Y1",'Third_Line_MLTS-BATS'!B64,IF($E65="Y",Base!B61-Option7!I65,IF($E65="N",0)))</f>
        <v>0</v>
      </c>
      <c r="C65" s="386">
        <f>IF($E65="Y1",'Third_Line_MLTS-BATS'!C64,IF($E65="Y",Base!C61-Option7!J65,IF($E65="N",0)))</f>
        <v>0</v>
      </c>
      <c r="D65" s="386">
        <f>IF($E65="Y1",'Third_Line_MLTS-BATS'!D64,IF($E65="Y",Base!D61-Option7!K65,IF($E65="N",0)))</f>
        <v>0</v>
      </c>
      <c r="E65" s="323" t="str">
        <f t="shared" ref="E65:E73" si="13">E37</f>
        <v>N</v>
      </c>
      <c r="F65" s="52">
        <f t="shared" ref="F65:F73" si="14">IF(OR(E65="Y",E65="Y1",E65="Y2"),D65*$G$5,0)</f>
        <v>0</v>
      </c>
      <c r="H65" s="72" t="s">
        <v>65</v>
      </c>
      <c r="I65" s="40">
        <v>545.4799999999999</v>
      </c>
      <c r="J65" s="40">
        <v>8812.01</v>
      </c>
      <c r="K65" s="40">
        <v>7293.7347200000004</v>
      </c>
      <c r="L65" s="40">
        <f t="shared" si="12"/>
        <v>451846.86590400006</v>
      </c>
    </row>
    <row r="66" spans="1:15" s="332" customFormat="1" x14ac:dyDescent="0.3">
      <c r="A66" s="72" t="s">
        <v>66</v>
      </c>
      <c r="B66" s="386">
        <f>IF($E66="Y1",'Third_Line_MLTS-BATS'!B65,IF($E66="Y",Base!B62-Option7!I66,IF($E66="N",0)))</f>
        <v>0</v>
      </c>
      <c r="C66" s="386">
        <f>IF($E66="Y1",'Third_Line_MLTS-BATS'!C65,IF($E66="Y",Base!C62-Option7!J66,IF($E66="N",0)))</f>
        <v>0</v>
      </c>
      <c r="D66" s="386">
        <f>IF($E66="Y1",'Third_Line_MLTS-BATS'!D65,IF($E66="Y",Base!D62-Option7!K66,IF($E66="N",0)))</f>
        <v>0</v>
      </c>
      <c r="E66" s="323" t="str">
        <f t="shared" si="13"/>
        <v>N</v>
      </c>
      <c r="F66" s="52">
        <f t="shared" si="14"/>
        <v>0</v>
      </c>
      <c r="H66" s="72" t="s">
        <v>66</v>
      </c>
      <c r="I66" s="40">
        <v>565.78</v>
      </c>
      <c r="J66" s="40">
        <v>8911.1299999999992</v>
      </c>
      <c r="K66" s="40">
        <v>7362.1124</v>
      </c>
      <c r="L66" s="40">
        <f t="shared" si="12"/>
        <v>456082.86318000004</v>
      </c>
    </row>
    <row r="67" spans="1:15" s="332" customFormat="1" x14ac:dyDescent="0.3">
      <c r="A67" s="72" t="s">
        <v>67</v>
      </c>
      <c r="B67" s="386">
        <f>IF($E67="Y1",'Third_Line_MLTS-BATS'!B66,IF($E67="Y",Base!B63-Option7!I67,IF($E67="N",0)))</f>
        <v>0</v>
      </c>
      <c r="C67" s="386">
        <f>IF($E67="Y1",'Third_Line_MLTS-BATS'!C66,IF($E67="Y",Base!C63-Option7!J67,IF($E67="N",0)))</f>
        <v>0</v>
      </c>
      <c r="D67" s="386">
        <f>IF($E67="Y1",'Third_Line_MLTS-BATS'!D66,IF($E67="Y",Base!D63-Option7!K67,IF($E67="N",0)))</f>
        <v>0</v>
      </c>
      <c r="E67" s="323" t="str">
        <f t="shared" si="13"/>
        <v>N</v>
      </c>
      <c r="F67" s="52">
        <f t="shared" si="14"/>
        <v>0</v>
      </c>
      <c r="H67" s="72" t="s">
        <v>67</v>
      </c>
      <c r="I67" s="40">
        <v>590.5</v>
      </c>
      <c r="J67" s="40">
        <v>8987.7200000000012</v>
      </c>
      <c r="K67" s="40">
        <v>7415.1497599999993</v>
      </c>
      <c r="L67" s="40">
        <f t="shared" si="12"/>
        <v>459368.52763199998</v>
      </c>
    </row>
    <row r="68" spans="1:15" s="332" customFormat="1" x14ac:dyDescent="0.3">
      <c r="A68" s="72" t="s">
        <v>68</v>
      </c>
      <c r="B68" s="386">
        <f>IF($E68="Y1",'Third_Line_MLTS-BATS'!B67,IF($E68="Y",Base!B64-Option7!I68,IF($E68="N",0)))</f>
        <v>294.98000000000025</v>
      </c>
      <c r="C68" s="386">
        <f>IF($E68="Y1",'Third_Line_MLTS-BATS'!C67,IF($E68="Y",Base!C64-Option7!J68,IF($E68="N",0)))</f>
        <v>970.65000000000146</v>
      </c>
      <c r="D68" s="386">
        <f>IF($E68="Y1",'Third_Line_MLTS-BATS'!D67,IF($E68="Y",Base!D64-Option7!K68,IF($E68="N",0)))</f>
        <v>701.24231999999938</v>
      </c>
      <c r="E68" s="323" t="str">
        <f t="shared" si="13"/>
        <v>Y1</v>
      </c>
      <c r="F68" s="52">
        <f t="shared" si="14"/>
        <v>43441.961723999964</v>
      </c>
      <c r="H68" s="72" t="s">
        <v>68</v>
      </c>
      <c r="I68" s="40">
        <v>644.84999999999991</v>
      </c>
      <c r="J68" s="40">
        <v>9259.1999999999989</v>
      </c>
      <c r="K68" s="40">
        <v>7576.9123199999995</v>
      </c>
      <c r="L68" s="40">
        <f t="shared" si="12"/>
        <v>469389.71822400001</v>
      </c>
    </row>
    <row r="69" spans="1:15" s="332" customFormat="1" x14ac:dyDescent="0.3">
      <c r="A69" s="72" t="s">
        <v>69</v>
      </c>
      <c r="B69" s="386">
        <f>IF($E69="Y1",'Third_Line_MLTS-BATS'!B68,IF($E69="Y",Base!B65-Option7!I69,IF($E69="N",0)))</f>
        <v>296.49999999999989</v>
      </c>
      <c r="C69" s="386">
        <f>IF($E69="Y1",'Third_Line_MLTS-BATS'!C68,IF($E69="Y",Base!C65-Option7!J69,IF($E69="N",0)))</f>
        <v>1025.25</v>
      </c>
      <c r="D69" s="386">
        <f>IF($E69="Y1",'Third_Line_MLTS-BATS'!D68,IF($E69="Y",Base!D65-Option7!K69,IF($E69="N",0)))</f>
        <v>782.86103999999796</v>
      </c>
      <c r="E69" s="323" t="str">
        <f t="shared" si="13"/>
        <v>Y1</v>
      </c>
      <c r="F69" s="52">
        <f t="shared" si="14"/>
        <v>48498.241427999877</v>
      </c>
      <c r="H69" s="72" t="s">
        <v>69</v>
      </c>
      <c r="I69" s="40">
        <v>693.92000000000019</v>
      </c>
      <c r="J69" s="40">
        <v>9541.4499999999989</v>
      </c>
      <c r="K69" s="40">
        <v>7764.1443999999992</v>
      </c>
      <c r="L69" s="40">
        <f t="shared" si="12"/>
        <v>480988.74557999999</v>
      </c>
    </row>
    <row r="70" spans="1:15" s="332" customFormat="1" x14ac:dyDescent="0.3">
      <c r="A70" s="72" t="s">
        <v>70</v>
      </c>
      <c r="B70" s="386">
        <f>IF($E70="Y1",'Third_Line_MLTS-BATS'!B69,IF($E70="Y",Base!B66-Option7!I70,IF($E70="N",0)))</f>
        <v>277.9100000000002</v>
      </c>
      <c r="C70" s="386">
        <f>IF($E70="Y1",'Third_Line_MLTS-BATS'!C69,IF($E70="Y",Base!C66-Option7!J70,IF($E70="N",0)))</f>
        <v>1065.2200000000012</v>
      </c>
      <c r="D70" s="386">
        <f>IF($E70="Y1",'Third_Line_MLTS-BATS'!D69,IF($E70="Y",Base!D66-Option7!K70,IF($E70="N",0)))</f>
        <v>803.48223999999936</v>
      </c>
      <c r="E70" s="323" t="str">
        <f t="shared" si="13"/>
        <v>Y1</v>
      </c>
      <c r="F70" s="52">
        <f t="shared" si="14"/>
        <v>49775.724767999964</v>
      </c>
      <c r="H70" s="72" t="s">
        <v>70</v>
      </c>
      <c r="I70" s="40">
        <v>811.94999999999993</v>
      </c>
      <c r="J70" s="40">
        <v>9951.18</v>
      </c>
      <c r="K70" s="40">
        <v>7959.903119999999</v>
      </c>
      <c r="L70" s="40">
        <f t="shared" si="12"/>
        <v>493115.99828399997</v>
      </c>
    </row>
    <row r="71" spans="1:15" s="332" customFormat="1" x14ac:dyDescent="0.3">
      <c r="A71" s="72" t="s">
        <v>71</v>
      </c>
      <c r="B71" s="386">
        <f>IF($E71="Y1",'Third_Line_MLTS-BATS'!B70,IF($E71="Y",Base!B67-Option7!I71,IF($E71="N",0)))</f>
        <v>206.63999999999987</v>
      </c>
      <c r="C71" s="386">
        <f>IF($E71="Y1",'Third_Line_MLTS-BATS'!C70,IF($E71="Y",Base!C67-Option7!J71,IF($E71="N",0)))</f>
        <v>1138.2900000000009</v>
      </c>
      <c r="D71" s="386">
        <f>IF($E71="Y1",'Third_Line_MLTS-BATS'!D70,IF($E71="Y",Base!D67-Option7!K71,IF($E71="N",0)))</f>
        <v>611.89128000000073</v>
      </c>
      <c r="E71" s="323" t="str">
        <f t="shared" si="13"/>
        <v>Y</v>
      </c>
      <c r="F71" s="52">
        <f t="shared" si="14"/>
        <v>37906.664796000048</v>
      </c>
      <c r="H71" s="72" t="s">
        <v>71</v>
      </c>
      <c r="I71" s="40">
        <v>892.48</v>
      </c>
      <c r="J71" s="40">
        <v>10396.32</v>
      </c>
      <c r="K71" s="40">
        <v>8152.2559199999987</v>
      </c>
      <c r="L71" s="40">
        <f t="shared" si="12"/>
        <v>505032.25424399995</v>
      </c>
    </row>
    <row r="72" spans="1:15" s="332" customFormat="1" x14ac:dyDescent="0.3">
      <c r="A72" s="72" t="s">
        <v>72</v>
      </c>
      <c r="B72" s="386">
        <f>IF($E72="Y1",'Third_Line_MLTS-BATS'!B71,IF($E72="Y",Base!B68-Option7!I72,IF($E72="N",0)))</f>
        <v>143.0100000000001</v>
      </c>
      <c r="C72" s="386">
        <f>IF($E72="Y1",'Third_Line_MLTS-BATS'!C71,IF($E72="Y",Base!C68-Option7!J72,IF($E72="N",0)))</f>
        <v>875.54999999999745</v>
      </c>
      <c r="D72" s="386">
        <f>IF($E72="Y1",'Third_Line_MLTS-BATS'!D71,IF($E72="Y",Base!D68-Option7!K72,IF($E72="N",0)))</f>
        <v>509.66279999999733</v>
      </c>
      <c r="E72" s="323" t="str">
        <f t="shared" si="13"/>
        <v>Y</v>
      </c>
      <c r="F72" s="52">
        <f t="shared" si="14"/>
        <v>31573.610459999836</v>
      </c>
      <c r="H72" s="72" t="s">
        <v>72</v>
      </c>
      <c r="I72" s="40">
        <v>900.07</v>
      </c>
      <c r="J72" s="40">
        <v>10615.29</v>
      </c>
      <c r="K72" s="40">
        <v>8057.288160000001</v>
      </c>
      <c r="L72" s="40">
        <f t="shared" si="12"/>
        <v>499149.0015120001</v>
      </c>
    </row>
    <row r="73" spans="1:15" s="332" customFormat="1" x14ac:dyDescent="0.3">
      <c r="A73" s="72" t="s">
        <v>73</v>
      </c>
      <c r="B73" s="386">
        <f>IF($E73="Y1",'Third_Line_MLTS-BATS'!B72,IF($E73="Y",Base!B69-Option7!I73,IF($E73="N",0)))</f>
        <v>75.380000000000223</v>
      </c>
      <c r="C73" s="386">
        <f>IF($E73="Y1",'Third_Line_MLTS-BATS'!C72,IF($E73="Y",Base!C69-Option7!J73,IF($E73="N",0)))</f>
        <v>1055.8899999999994</v>
      </c>
      <c r="D73" s="386">
        <f>IF($E73="Y1",'Third_Line_MLTS-BATS'!D72,IF($E73="Y",Base!D69-Option7!K73,IF($E73="N",0)))</f>
        <v>591.26823999999942</v>
      </c>
      <c r="E73" s="323" t="str">
        <f t="shared" si="13"/>
        <v>Y</v>
      </c>
      <c r="F73" s="52">
        <f t="shared" si="14"/>
        <v>36629.067467999965</v>
      </c>
      <c r="H73" s="72" t="s">
        <v>73</v>
      </c>
      <c r="I73" s="40">
        <v>1008.7399999999999</v>
      </c>
      <c r="J73" s="40">
        <v>11446.64</v>
      </c>
      <c r="K73" s="40">
        <v>8346.9204800000007</v>
      </c>
      <c r="L73" s="40">
        <f t="shared" si="12"/>
        <v>517091.72373600007</v>
      </c>
    </row>
    <row r="74" spans="1:15" s="332" customFormat="1" ht="15" thickBot="1" x14ac:dyDescent="0.35">
      <c r="E74" s="60">
        <f>SUM(COUNTIF(E64:E73,{"Y","Y1","Y2"}))</f>
        <v>6</v>
      </c>
      <c r="F74" s="62">
        <f>-PV($G$6,$G$7-E74,F73)</f>
        <v>351953.13718008873</v>
      </c>
      <c r="G74" s="55" t="s">
        <v>11</v>
      </c>
    </row>
    <row r="75" spans="1:15" s="332" customFormat="1" ht="15" thickTop="1" x14ac:dyDescent="0.3"/>
    <row r="76" spans="1:15" s="332" customFormat="1" ht="15.6" x14ac:dyDescent="0.3">
      <c r="A76" s="409" t="s">
        <v>54</v>
      </c>
      <c r="B76" s="410"/>
      <c r="C76" s="410"/>
      <c r="D76" s="410"/>
      <c r="E76" s="410"/>
      <c r="F76" s="411"/>
      <c r="H76" s="406" t="s">
        <v>62</v>
      </c>
      <c r="I76" s="406"/>
      <c r="J76" s="406"/>
      <c r="K76" s="406"/>
      <c r="L76" s="406"/>
    </row>
    <row r="77" spans="1:15" s="332" customFormat="1" ht="57.6" x14ac:dyDescent="0.3">
      <c r="A77" s="322" t="s">
        <v>5</v>
      </c>
      <c r="B77" s="51" t="s">
        <v>151</v>
      </c>
      <c r="C77" s="51" t="s">
        <v>152</v>
      </c>
      <c r="D77" s="51" t="s">
        <v>153</v>
      </c>
      <c r="E77" s="51" t="s">
        <v>12</v>
      </c>
      <c r="F77" s="51" t="s">
        <v>134</v>
      </c>
      <c r="H77" s="322" t="s">
        <v>5</v>
      </c>
      <c r="I77" s="51" t="s">
        <v>75</v>
      </c>
      <c r="J77" s="51" t="s">
        <v>51</v>
      </c>
      <c r="K77" s="50" t="s">
        <v>0</v>
      </c>
      <c r="L77" s="51" t="s">
        <v>58</v>
      </c>
    </row>
    <row r="78" spans="1:15" s="332" customFormat="1" x14ac:dyDescent="0.3">
      <c r="A78" s="72" t="s">
        <v>64</v>
      </c>
      <c r="B78" s="386">
        <f>IF($E78="Y1",'Third_Line_MLTS-BATS'!B77,IF($E78="Y",Base!B74-Option7!I78,IF($E78="N",0)))</f>
        <v>0</v>
      </c>
      <c r="C78" s="386">
        <f>IF($E78="Y1",'Third_Line_MLTS-BATS'!C77,IF($E78="Y",Base!C74-Option7!J78,IF($E78="N",0)))</f>
        <v>0</v>
      </c>
      <c r="D78" s="386">
        <f>IF($E78="Y1",'Third_Line_MLTS-BATS'!D77,IF($E78="Y",Base!D74-Option7!K78,IF($E78="N",0)))</f>
        <v>0</v>
      </c>
      <c r="E78" s="323" t="str">
        <f>E36</f>
        <v>N</v>
      </c>
      <c r="F78" s="52">
        <f>IF(OR(E78="Y",E78="Y1",E78="Y2"),D78*$G$5,0)</f>
        <v>0</v>
      </c>
      <c r="H78" s="72" t="s">
        <v>64</v>
      </c>
      <c r="I78" s="40">
        <v>534.23</v>
      </c>
      <c r="J78" s="40">
        <v>8682.9199999999983</v>
      </c>
      <c r="K78" s="40">
        <v>7242.3809599999986</v>
      </c>
      <c r="L78" s="40">
        <f t="shared" ref="L78:L87" si="15">K78*$G$5</f>
        <v>448665.50047199993</v>
      </c>
    </row>
    <row r="79" spans="1:15" s="332" customFormat="1" x14ac:dyDescent="0.3">
      <c r="A79" s="72" t="s">
        <v>65</v>
      </c>
      <c r="B79" s="386">
        <f>IF($E79="Y1",'Third_Line_MLTS-BATS'!B78,IF($E79="Y",Base!B75-Option7!I79,IF($E79="N",0)))</f>
        <v>0</v>
      </c>
      <c r="C79" s="386">
        <f>IF($E79="Y1",'Third_Line_MLTS-BATS'!C78,IF($E79="Y",Base!C75-Option7!J79,IF($E79="N",0)))</f>
        <v>0</v>
      </c>
      <c r="D79" s="386">
        <f>IF($E79="Y1",'Third_Line_MLTS-BATS'!D78,IF($E79="Y",Base!D75-Option7!K79,IF($E79="N",0)))</f>
        <v>0</v>
      </c>
      <c r="E79" s="323" t="str">
        <f t="shared" ref="E79:E87" si="16">E37</f>
        <v>N</v>
      </c>
      <c r="F79" s="52">
        <f t="shared" ref="F79:F87" si="17">IF(OR(E79="Y",E79="Y1",E79="Y2"),D79*$G$5,0)</f>
        <v>0</v>
      </c>
      <c r="H79" s="72" t="s">
        <v>65</v>
      </c>
      <c r="I79" s="40">
        <v>544.52</v>
      </c>
      <c r="J79" s="40">
        <v>8816.9000000000015</v>
      </c>
      <c r="K79" s="40">
        <v>7294.8523999999998</v>
      </c>
      <c r="L79" s="40">
        <f t="shared" si="15"/>
        <v>451916.10618</v>
      </c>
    </row>
    <row r="80" spans="1:15" s="332" customFormat="1" x14ac:dyDescent="0.3">
      <c r="A80" s="72" t="s">
        <v>66</v>
      </c>
      <c r="B80" s="386">
        <f>IF($E80="Y1",'Third_Line_MLTS-BATS'!B79,IF($E80="Y",Base!B76-Option7!I80,IF($E80="N",0)))</f>
        <v>0</v>
      </c>
      <c r="C80" s="386">
        <f>IF($E80="Y1",'Third_Line_MLTS-BATS'!C79,IF($E80="Y",Base!C76-Option7!J80,IF($E80="N",0)))</f>
        <v>0</v>
      </c>
      <c r="D80" s="386">
        <f>IF($E80="Y1",'Third_Line_MLTS-BATS'!D79,IF($E80="Y",Base!D76-Option7!K80,IF($E80="N",0)))</f>
        <v>0</v>
      </c>
      <c r="E80" s="323" t="str">
        <f t="shared" si="16"/>
        <v>N</v>
      </c>
      <c r="F80" s="52">
        <f t="shared" si="17"/>
        <v>0</v>
      </c>
      <c r="H80" s="72" t="s">
        <v>66</v>
      </c>
      <c r="I80" s="40">
        <v>566.19000000000005</v>
      </c>
      <c r="J80" s="40">
        <v>8915.7900000000009</v>
      </c>
      <c r="K80" s="40">
        <v>7363.3063199999997</v>
      </c>
      <c r="L80" s="40">
        <f t="shared" si="15"/>
        <v>456156.82652399997</v>
      </c>
      <c r="N80" s="39"/>
      <c r="O80" s="39"/>
    </row>
    <row r="81" spans="1:15" s="332" customFormat="1" x14ac:dyDescent="0.3">
      <c r="A81" s="72" t="s">
        <v>67</v>
      </c>
      <c r="B81" s="386">
        <f>IF($E81="Y1",'Third_Line_MLTS-BATS'!B80,IF($E81="Y",Base!B77-Option7!I81,IF($E81="N",0)))</f>
        <v>0</v>
      </c>
      <c r="C81" s="386">
        <f>IF($E81="Y1",'Third_Line_MLTS-BATS'!C80,IF($E81="Y",Base!C77-Option7!J81,IF($E81="N",0)))</f>
        <v>0</v>
      </c>
      <c r="D81" s="386">
        <f>IF($E81="Y1",'Third_Line_MLTS-BATS'!D80,IF($E81="Y",Base!D77-Option7!K81,IF($E81="N",0)))</f>
        <v>0</v>
      </c>
      <c r="E81" s="323" t="str">
        <f t="shared" si="16"/>
        <v>N</v>
      </c>
      <c r="F81" s="52">
        <f t="shared" si="17"/>
        <v>0</v>
      </c>
      <c r="H81" s="72" t="s">
        <v>67</v>
      </c>
      <c r="I81" s="40">
        <v>610.98</v>
      </c>
      <c r="J81" s="40">
        <v>9148.4500000000007</v>
      </c>
      <c r="K81" s="40">
        <v>7563.3239199999989</v>
      </c>
      <c r="L81" s="40">
        <f t="shared" si="15"/>
        <v>468547.91684399993</v>
      </c>
      <c r="N81" s="45"/>
      <c r="O81" s="54"/>
    </row>
    <row r="82" spans="1:15" s="332" customFormat="1" x14ac:dyDescent="0.3">
      <c r="A82" s="72" t="s">
        <v>68</v>
      </c>
      <c r="B82" s="386">
        <f>IF($E82="Y1",'Third_Line_MLTS-BATS'!B81,IF($E82="Y",Base!B78-Option7!I82,IF($E82="N",0)))</f>
        <v>52.060000000000059</v>
      </c>
      <c r="C82" s="386">
        <f>IF($E82="Y1",'Third_Line_MLTS-BATS'!C81,IF($E82="Y",Base!C78-Option7!J82,IF($E82="N",0)))</f>
        <v>802.76000000000386</v>
      </c>
      <c r="D82" s="386">
        <f>IF($E82="Y1",'Third_Line_MLTS-BATS'!D81,IF($E82="Y",Base!D78-Option7!K82,IF($E82="N",0)))</f>
        <v>433.51112000000103</v>
      </c>
      <c r="E82" s="323" t="str">
        <f t="shared" si="16"/>
        <v>Y1</v>
      </c>
      <c r="F82" s="52">
        <f t="shared" si="17"/>
        <v>26856.013884000065</v>
      </c>
      <c r="H82" s="72" t="s">
        <v>68</v>
      </c>
      <c r="I82" s="40">
        <v>855.78999999999985</v>
      </c>
      <c r="J82" s="40">
        <v>9611.0299999999988</v>
      </c>
      <c r="K82" s="40">
        <v>7800.7479199999989</v>
      </c>
      <c r="L82" s="40">
        <f t="shared" si="15"/>
        <v>483256.33364399994</v>
      </c>
      <c r="N82" s="45"/>
      <c r="O82" s="54"/>
    </row>
    <row r="83" spans="1:15" s="332" customFormat="1" x14ac:dyDescent="0.3">
      <c r="A83" s="72" t="s">
        <v>69</v>
      </c>
      <c r="B83" s="386">
        <f>IF($E83="Y1",'Third_Line_MLTS-BATS'!B82,IF($E83="Y",Base!B79-Option7!I83,IF($E83="N",0)))</f>
        <v>164.80000000000007</v>
      </c>
      <c r="C83" s="386">
        <f>IF($E83="Y1",'Third_Line_MLTS-BATS'!C82,IF($E83="Y",Base!C79-Option7!J83,IF($E83="N",0)))</f>
        <v>776.59000000000196</v>
      </c>
      <c r="D83" s="386">
        <f>IF($E83="Y1",'Third_Line_MLTS-BATS'!D82,IF($E83="Y",Base!D79-Option7!K83,IF($E83="N",0)))</f>
        <v>361.48168000000078</v>
      </c>
      <c r="E83" s="323" t="str">
        <f t="shared" si="16"/>
        <v>Y1</v>
      </c>
      <c r="F83" s="52">
        <f t="shared" si="17"/>
        <v>22393.790076000048</v>
      </c>
      <c r="H83" s="72" t="s">
        <v>69</v>
      </c>
      <c r="I83" s="40">
        <v>794.45</v>
      </c>
      <c r="J83" s="40">
        <v>9800.31</v>
      </c>
      <c r="K83" s="40">
        <v>8014.9655999999995</v>
      </c>
      <c r="L83" s="40">
        <f t="shared" si="15"/>
        <v>496527.11891999998</v>
      </c>
      <c r="N83" s="39"/>
      <c r="O83" s="39"/>
    </row>
    <row r="84" spans="1:15" s="332" customFormat="1" x14ac:dyDescent="0.3">
      <c r="A84" s="72" t="s">
        <v>70</v>
      </c>
      <c r="B84" s="386">
        <f>IF($E84="Y1",'Third_Line_MLTS-BATS'!B83,IF($E84="Y",Base!B80-Option7!I84,IF($E84="N",0)))</f>
        <v>120.07999999999993</v>
      </c>
      <c r="C84" s="386">
        <f>IF($E84="Y1",'Third_Line_MLTS-BATS'!C83,IF($E84="Y",Base!C80-Option7!J84,IF($E84="N",0)))</f>
        <v>1146.0199999999968</v>
      </c>
      <c r="D84" s="386">
        <f>IF($E84="Y1",'Third_Line_MLTS-BATS'!D83,IF($E84="Y",Base!D80-Option7!K84,IF($E84="N",0)))</f>
        <v>577.6385599999976</v>
      </c>
      <c r="E84" s="323" t="str">
        <f t="shared" si="16"/>
        <v>Y1</v>
      </c>
      <c r="F84" s="52">
        <f t="shared" si="17"/>
        <v>35784.708791999852</v>
      </c>
      <c r="H84" s="72" t="s">
        <v>70</v>
      </c>
      <c r="I84" s="40">
        <v>874.20999999999992</v>
      </c>
      <c r="J84" s="40">
        <v>10140.94</v>
      </c>
      <c r="K84" s="40">
        <v>8127.1335999999992</v>
      </c>
      <c r="L84" s="40">
        <f t="shared" si="15"/>
        <v>503475.92651999998</v>
      </c>
      <c r="N84" s="39"/>
      <c r="O84" s="39"/>
    </row>
    <row r="85" spans="1:15" s="332" customFormat="1" x14ac:dyDescent="0.3">
      <c r="A85" s="72" t="s">
        <v>71</v>
      </c>
      <c r="B85" s="386">
        <f>IF($E85="Y1",'Third_Line_MLTS-BATS'!B84,IF($E85="Y",Base!B81-Option7!I85,IF($E85="N",0)))</f>
        <v>367.42999999999995</v>
      </c>
      <c r="C85" s="386">
        <f>IF($E85="Y1",'Third_Line_MLTS-BATS'!C84,IF($E85="Y",Base!C81-Option7!J85,IF($E85="N",0)))</f>
        <v>2184.3200000000015</v>
      </c>
      <c r="D85" s="386">
        <f>IF($E85="Y1",'Third_Line_MLTS-BATS'!D84,IF($E85="Y",Base!D81-Option7!K85,IF($E85="N",0)))</f>
        <v>1198.8744800000004</v>
      </c>
      <c r="E85" s="323" t="str">
        <f t="shared" si="16"/>
        <v>Y</v>
      </c>
      <c r="F85" s="52">
        <f t="shared" si="17"/>
        <v>74270.274036000032</v>
      </c>
      <c r="H85" s="72" t="s">
        <v>71</v>
      </c>
      <c r="I85" s="40">
        <v>935.55000000000007</v>
      </c>
      <c r="J85" s="40">
        <v>10537.750000000002</v>
      </c>
      <c r="K85" s="40">
        <v>8293.4492800000007</v>
      </c>
      <c r="L85" s="40">
        <f t="shared" si="15"/>
        <v>513779.18289600004</v>
      </c>
      <c r="N85" s="39"/>
      <c r="O85" s="39"/>
    </row>
    <row r="86" spans="1:15" s="332" customFormat="1" x14ac:dyDescent="0.3">
      <c r="A86" s="72" t="s">
        <v>72</v>
      </c>
      <c r="B86" s="386">
        <f>IF($E86="Y1",'Third_Line_MLTS-BATS'!B85,IF($E86="Y",Base!B82-Option7!I86,IF($E86="N",0)))</f>
        <v>151.21000000000026</v>
      </c>
      <c r="C86" s="386">
        <f>IF($E86="Y1",'Third_Line_MLTS-BATS'!C85,IF($E86="Y",Base!C82-Option7!J86,IF($E86="N",0)))</f>
        <v>2216.9200000000019</v>
      </c>
      <c r="D86" s="386">
        <f>IF($E86="Y1",'Third_Line_MLTS-BATS'!D85,IF($E86="Y",Base!D82-Option7!K86,IF($E86="N",0)))</f>
        <v>1285.6093600000004</v>
      </c>
      <c r="E86" s="323" t="str">
        <f t="shared" si="16"/>
        <v>Y</v>
      </c>
      <c r="F86" s="52">
        <f t="shared" si="17"/>
        <v>79643.499852000023</v>
      </c>
      <c r="H86" s="72" t="s">
        <v>72</v>
      </c>
      <c r="I86" s="40">
        <v>1059.26</v>
      </c>
      <c r="J86" s="40">
        <v>11100.709999999997</v>
      </c>
      <c r="K86" s="40">
        <v>8510.3650399999988</v>
      </c>
      <c r="L86" s="40">
        <f t="shared" si="15"/>
        <v>527217.11422799993</v>
      </c>
    </row>
    <row r="87" spans="1:15" s="332" customFormat="1" x14ac:dyDescent="0.3">
      <c r="A87" s="72" t="s">
        <v>73</v>
      </c>
      <c r="B87" s="386">
        <f>IF($E87="Y1",'Third_Line_MLTS-BATS'!B86,IF($E87="Y",Base!B83-Option7!I87,IF($E87="N",0)))</f>
        <v>180.3599999999999</v>
      </c>
      <c r="C87" s="386">
        <f>IF($E87="Y1",'Third_Line_MLTS-BATS'!C86,IF($E87="Y",Base!C83-Option7!J87,IF($E87="N",0)))</f>
        <v>2648.3999999999978</v>
      </c>
      <c r="D87" s="386">
        <f>IF($E87="Y1",'Third_Line_MLTS-BATS'!D86,IF($E87="Y",Base!D83-Option7!K87,IF($E87="N",0)))</f>
        <v>1475.5982399999994</v>
      </c>
      <c r="E87" s="323" t="str">
        <f t="shared" si="16"/>
        <v>Y</v>
      </c>
      <c r="F87" s="52">
        <f t="shared" si="17"/>
        <v>91413.310967999962</v>
      </c>
      <c r="H87" s="72" t="s">
        <v>73</v>
      </c>
      <c r="I87" s="40">
        <v>1223.3599999999999</v>
      </c>
      <c r="J87" s="40">
        <v>12291.91</v>
      </c>
      <c r="K87" s="40">
        <v>9027.1131999999998</v>
      </c>
      <c r="L87" s="40">
        <f t="shared" si="15"/>
        <v>559229.66274000006</v>
      </c>
    </row>
    <row r="88" spans="1:15" s="332" customFormat="1" ht="15" thickBot="1" x14ac:dyDescent="0.35">
      <c r="E88" s="60">
        <f>SUM(COUNTIF(E78:E87,{"Y","Y1","Y2"}))</f>
        <v>6</v>
      </c>
      <c r="F88" s="62">
        <f>-PV($G$6,$G$7-E88,F87)</f>
        <v>878351.64253946359</v>
      </c>
      <c r="G88" s="55" t="s">
        <v>11</v>
      </c>
    </row>
    <row r="89" spans="1:15" s="332" customFormat="1" ht="15" thickTop="1" x14ac:dyDescent="0.3"/>
    <row r="90" spans="1:15" s="332" customFormat="1" ht="15.6" x14ac:dyDescent="0.3">
      <c r="A90" s="409" t="s">
        <v>53</v>
      </c>
      <c r="B90" s="410"/>
      <c r="C90" s="410"/>
      <c r="D90" s="410"/>
      <c r="E90" s="410"/>
      <c r="F90" s="411"/>
      <c r="H90" s="406" t="s">
        <v>63</v>
      </c>
      <c r="I90" s="406"/>
      <c r="J90" s="406"/>
      <c r="K90" s="406"/>
      <c r="L90" s="406"/>
    </row>
    <row r="91" spans="1:15" s="332" customFormat="1" ht="57.6" x14ac:dyDescent="0.3">
      <c r="A91" s="322" t="s">
        <v>5</v>
      </c>
      <c r="B91" s="51" t="s">
        <v>151</v>
      </c>
      <c r="C91" s="51" t="s">
        <v>152</v>
      </c>
      <c r="D91" s="51" t="s">
        <v>153</v>
      </c>
      <c r="E91" s="51" t="s">
        <v>12</v>
      </c>
      <c r="F91" s="51" t="s">
        <v>134</v>
      </c>
      <c r="H91" s="322" t="s">
        <v>5</v>
      </c>
      <c r="I91" s="51" t="s">
        <v>75</v>
      </c>
      <c r="J91" s="51" t="s">
        <v>51</v>
      </c>
      <c r="K91" s="50" t="s">
        <v>0</v>
      </c>
      <c r="L91" s="51" t="s">
        <v>58</v>
      </c>
    </row>
    <row r="92" spans="1:15" s="332" customFormat="1" x14ac:dyDescent="0.3">
      <c r="A92" s="72" t="s">
        <v>64</v>
      </c>
      <c r="B92" s="386">
        <f>IF($E92="Y1",'Third_Line_MLTS-BATS'!B91,IF($E92="Y",Base!B88-Option7!I92,IF($E92="N",0)))</f>
        <v>0</v>
      </c>
      <c r="C92" s="386">
        <f>IF($E92="Y1",'Third_Line_MLTS-BATS'!C91,IF($E92="Y",Base!C88-Option7!J92,IF($E92="N",0)))</f>
        <v>0</v>
      </c>
      <c r="D92" s="386">
        <f>IF($E92="Y1",'Third_Line_MLTS-BATS'!D91,IF($E92="Y",Base!D88-Option7!K92,IF($E92="N",0)))</f>
        <v>0</v>
      </c>
      <c r="E92" s="323" t="str">
        <f>E36</f>
        <v>N</v>
      </c>
      <c r="F92" s="52">
        <f>IF(OR(E92="Y",E92="Y1",E92="Y2"),D92*$G$5,0)</f>
        <v>0</v>
      </c>
      <c r="H92" s="72" t="s">
        <v>64</v>
      </c>
      <c r="I92" s="40">
        <v>554.96</v>
      </c>
      <c r="J92" s="40">
        <v>8811.5300000000007</v>
      </c>
      <c r="K92" s="40">
        <v>7348.1899999999987</v>
      </c>
      <c r="L92" s="40">
        <f t="shared" ref="L92:L101" si="18">K92*$G$5</f>
        <v>455220.37049999996</v>
      </c>
    </row>
    <row r="93" spans="1:15" s="332" customFormat="1" x14ac:dyDescent="0.3">
      <c r="A93" s="72" t="s">
        <v>65</v>
      </c>
      <c r="B93" s="386">
        <f>IF($E93="Y1",'Third_Line_MLTS-BATS'!B92,IF($E93="Y",Base!B89-Option7!I93,IF($E93="N",0)))</f>
        <v>0</v>
      </c>
      <c r="C93" s="386">
        <f>IF($E93="Y1",'Third_Line_MLTS-BATS'!C92,IF($E93="Y",Base!C89-Option7!J93,IF($E93="N",0)))</f>
        <v>0</v>
      </c>
      <c r="D93" s="386">
        <f>IF($E93="Y1",'Third_Line_MLTS-BATS'!D92,IF($E93="Y",Base!D89-Option7!K93,IF($E93="N",0)))</f>
        <v>0</v>
      </c>
      <c r="E93" s="323" t="str">
        <f t="shared" ref="E93:E101" si="19">E37</f>
        <v>N</v>
      </c>
      <c r="F93" s="52">
        <f t="shared" ref="F93:F101" si="20">IF(OR(E93="Y",E93="Y1",E93="Y2"),D93*$G$5,0)</f>
        <v>0</v>
      </c>
      <c r="H93" s="72" t="s">
        <v>65</v>
      </c>
      <c r="I93" s="40">
        <v>584.34</v>
      </c>
      <c r="J93" s="40">
        <v>8935.86</v>
      </c>
      <c r="K93" s="40">
        <v>7350.9079199999996</v>
      </c>
      <c r="L93" s="40">
        <f t="shared" si="18"/>
        <v>455388.74564400001</v>
      </c>
    </row>
    <row r="94" spans="1:15" s="332" customFormat="1" x14ac:dyDescent="0.3">
      <c r="A94" s="72" t="s">
        <v>66</v>
      </c>
      <c r="B94" s="386">
        <f>IF($E94="Y1",'Third_Line_MLTS-BATS'!B93,IF($E94="Y",Base!B90-Option7!I94,IF($E94="N",0)))</f>
        <v>0</v>
      </c>
      <c r="C94" s="386">
        <f>IF($E94="Y1",'Third_Line_MLTS-BATS'!C93,IF($E94="Y",Base!C90-Option7!J94,IF($E94="N",0)))</f>
        <v>0</v>
      </c>
      <c r="D94" s="386">
        <f>IF($E94="Y1",'Third_Line_MLTS-BATS'!D93,IF($E94="Y",Base!D90-Option7!K94,IF($E94="N",0)))</f>
        <v>0</v>
      </c>
      <c r="E94" s="323" t="str">
        <f t="shared" si="19"/>
        <v>N</v>
      </c>
      <c r="F94" s="52">
        <f t="shared" si="20"/>
        <v>0</v>
      </c>
      <c r="H94" s="72" t="s">
        <v>66</v>
      </c>
      <c r="I94" s="40">
        <v>649.29000000000008</v>
      </c>
      <c r="J94" s="40">
        <v>9316.33</v>
      </c>
      <c r="K94" s="40">
        <v>7596.2982400000001</v>
      </c>
      <c r="L94" s="40">
        <f t="shared" si="18"/>
        <v>470590.67596800003</v>
      </c>
    </row>
    <row r="95" spans="1:15" s="332" customFormat="1" x14ac:dyDescent="0.3">
      <c r="A95" s="72" t="s">
        <v>67</v>
      </c>
      <c r="B95" s="386">
        <f>IF($E95="Y1",'Third_Line_MLTS-BATS'!B94,IF($E95="Y",Base!B91-Option7!I95,IF($E95="N",0)))</f>
        <v>0</v>
      </c>
      <c r="C95" s="386">
        <f>IF($E95="Y1",'Third_Line_MLTS-BATS'!C94,IF($E95="Y",Base!C91-Option7!J95,IF($E95="N",0)))</f>
        <v>0</v>
      </c>
      <c r="D95" s="386">
        <f>IF($E95="Y1",'Third_Line_MLTS-BATS'!D94,IF($E95="Y",Base!D91-Option7!K95,IF($E95="N",0)))</f>
        <v>0</v>
      </c>
      <c r="E95" s="323" t="str">
        <f t="shared" si="19"/>
        <v>N</v>
      </c>
      <c r="F95" s="52">
        <f t="shared" si="20"/>
        <v>0</v>
      </c>
      <c r="H95" s="72" t="s">
        <v>67</v>
      </c>
      <c r="I95" s="40">
        <v>714.7</v>
      </c>
      <c r="J95" s="40">
        <v>9560.8100000000013</v>
      </c>
      <c r="K95" s="40">
        <v>7717.79504</v>
      </c>
      <c r="L95" s="40">
        <f t="shared" si="18"/>
        <v>478117.40272800002</v>
      </c>
    </row>
    <row r="96" spans="1:15" s="332" customFormat="1" x14ac:dyDescent="0.3">
      <c r="A96" s="72" t="s">
        <v>68</v>
      </c>
      <c r="B96" s="386">
        <f>IF($E96="Y1",'Third_Line_MLTS-BATS'!B95,IF($E96="Y",Base!B92-Option7!I96,IF($E96="N",0)))</f>
        <v>77.939999999999941</v>
      </c>
      <c r="C96" s="386">
        <f>IF($E96="Y1",'Third_Line_MLTS-BATS'!C95,IF($E96="Y",Base!C92-Option7!J96,IF($E96="N",0)))</f>
        <v>345.6299999999992</v>
      </c>
      <c r="D96" s="386">
        <f>IF($E96="Y1",'Third_Line_MLTS-BATS'!D95,IF($E96="Y",Base!D92-Option7!K96,IF($E96="N",0)))</f>
        <v>375.32135999999991</v>
      </c>
      <c r="E96" s="323" t="str">
        <f t="shared" si="19"/>
        <v>Y1</v>
      </c>
      <c r="F96" s="52">
        <f t="shared" si="20"/>
        <v>23251.158251999997</v>
      </c>
      <c r="H96" s="72" t="s">
        <v>68</v>
      </c>
      <c r="I96" s="40">
        <v>781.53</v>
      </c>
      <c r="J96" s="40">
        <v>9759.39</v>
      </c>
      <c r="K96" s="40">
        <v>7795.2153599999992</v>
      </c>
      <c r="L96" s="40">
        <f t="shared" si="18"/>
        <v>482913.59155199997</v>
      </c>
    </row>
    <row r="97" spans="1:12" s="332" customFormat="1" x14ac:dyDescent="0.3">
      <c r="A97" s="72" t="s">
        <v>69</v>
      </c>
      <c r="B97" s="386">
        <f>IF($E97="Y1",'Third_Line_MLTS-BATS'!B96,IF($E97="Y",Base!B93-Option7!I97,IF($E97="N",0)))</f>
        <v>128.41000000000008</v>
      </c>
      <c r="C97" s="386">
        <f>IF($E97="Y1",'Third_Line_MLTS-BATS'!C96,IF($E97="Y",Base!C93-Option7!J97,IF($E97="N",0)))</f>
        <v>490.64999999999782</v>
      </c>
      <c r="D97" s="386">
        <f>IF($E97="Y1",'Third_Line_MLTS-BATS'!D96,IF($E97="Y",Base!D93-Option7!K97,IF($E97="N",0)))</f>
        <v>480.21695999999974</v>
      </c>
      <c r="E97" s="323" t="str">
        <f t="shared" si="19"/>
        <v>Y1</v>
      </c>
      <c r="F97" s="52">
        <f t="shared" si="20"/>
        <v>29749.440671999986</v>
      </c>
      <c r="H97" s="72" t="s">
        <v>69</v>
      </c>
      <c r="I97" s="40">
        <v>856.21</v>
      </c>
      <c r="J97" s="40">
        <v>10398.120000000001</v>
      </c>
      <c r="K97" s="40">
        <v>8082.9386399999994</v>
      </c>
      <c r="L97" s="40">
        <f t="shared" si="18"/>
        <v>500738.048748</v>
      </c>
    </row>
    <row r="98" spans="1:12" s="332" customFormat="1" x14ac:dyDescent="0.3">
      <c r="A98" s="72" t="s">
        <v>70</v>
      </c>
      <c r="B98" s="386">
        <f>IF($E98="Y1",'Third_Line_MLTS-BATS'!B97,IF($E98="Y",Base!B94-Option7!I98,IF($E98="N",0)))</f>
        <v>111.81000000000017</v>
      </c>
      <c r="C98" s="386">
        <f>IF($E98="Y1",'Third_Line_MLTS-BATS'!C97,IF($E98="Y",Base!C94-Option7!J98,IF($E98="N",0)))</f>
        <v>530.36999999999716</v>
      </c>
      <c r="D98" s="386">
        <f>IF($E98="Y1",'Third_Line_MLTS-BATS'!D97,IF($E98="Y",Base!D94-Option7!K98,IF($E98="N",0)))</f>
        <v>538.87512000000061</v>
      </c>
      <c r="E98" s="323" t="str">
        <f t="shared" si="19"/>
        <v>Y1</v>
      </c>
      <c r="F98" s="52">
        <f t="shared" si="20"/>
        <v>33383.313684000037</v>
      </c>
      <c r="H98" s="72" t="s">
        <v>70</v>
      </c>
      <c r="I98" s="40">
        <v>1020.31</v>
      </c>
      <c r="J98" s="40">
        <v>11462.909999999998</v>
      </c>
      <c r="K98" s="40">
        <v>8629.0903199999993</v>
      </c>
      <c r="L98" s="40">
        <f t="shared" si="18"/>
        <v>534572.14532400004</v>
      </c>
    </row>
    <row r="99" spans="1:12" s="332" customFormat="1" x14ac:dyDescent="0.3">
      <c r="A99" s="72" t="s">
        <v>71</v>
      </c>
      <c r="B99" s="386">
        <f>IF($E99="Y1",'Third_Line_MLTS-BATS'!B98,IF($E99="Y",Base!B95-Option7!I99,IF($E99="N",0)))</f>
        <v>-23.949999999999818</v>
      </c>
      <c r="C99" s="386">
        <f>IF($E99="Y1",'Third_Line_MLTS-BATS'!C98,IF($E99="Y",Base!C95-Option7!J99,IF($E99="N",0)))</f>
        <v>862.32999999999993</v>
      </c>
      <c r="D99" s="386">
        <f>IF($E99="Y1",'Third_Line_MLTS-BATS'!D98,IF($E99="Y",Base!D95-Option7!K99,IF($E99="N",0)))</f>
        <v>441.07600000000093</v>
      </c>
      <c r="E99" s="323" t="str">
        <f t="shared" si="19"/>
        <v>Y</v>
      </c>
      <c r="F99" s="52">
        <f t="shared" si="20"/>
        <v>27324.65820000006</v>
      </c>
      <c r="H99" s="72" t="s">
        <v>71</v>
      </c>
      <c r="I99" s="40">
        <v>1142.3800000000001</v>
      </c>
      <c r="J99" s="40">
        <v>12787.949999999999</v>
      </c>
      <c r="K99" s="40">
        <v>9076.376879999998</v>
      </c>
      <c r="L99" s="40">
        <f t="shared" si="18"/>
        <v>562281.54771599988</v>
      </c>
    </row>
    <row r="100" spans="1:12" s="332" customFormat="1" x14ac:dyDescent="0.3">
      <c r="A100" s="72" t="s">
        <v>72</v>
      </c>
      <c r="B100" s="386">
        <f>IF($E100="Y1",'Third_Line_MLTS-BATS'!B99,IF($E100="Y",Base!B96-Option7!I100,IF($E100="N",0)))</f>
        <v>-92.260000000000218</v>
      </c>
      <c r="C100" s="386">
        <f>IF($E100="Y1",'Third_Line_MLTS-BATS'!C99,IF($E100="Y",Base!C96-Option7!J100,IF($E100="N",0)))</f>
        <v>531.40999999999985</v>
      </c>
      <c r="D100" s="386">
        <f>IF($E100="Y1",'Third_Line_MLTS-BATS'!D99,IF($E100="Y",Base!D96-Option7!K100,IF($E100="N",0)))</f>
        <v>340.65031999999701</v>
      </c>
      <c r="E100" s="323" t="str">
        <f t="shared" si="19"/>
        <v>Y</v>
      </c>
      <c r="F100" s="52">
        <f t="shared" si="20"/>
        <v>21103.287323999815</v>
      </c>
      <c r="H100" s="72" t="s">
        <v>72</v>
      </c>
      <c r="I100" s="40">
        <v>1163.95</v>
      </c>
      <c r="J100" s="40">
        <v>14306.810000000001</v>
      </c>
      <c r="K100" s="40">
        <v>9420.9665600000008</v>
      </c>
      <c r="L100" s="40">
        <f t="shared" si="18"/>
        <v>583628.8783920001</v>
      </c>
    </row>
    <row r="101" spans="1:12" s="332" customFormat="1" x14ac:dyDescent="0.3">
      <c r="A101" s="72" t="s">
        <v>73</v>
      </c>
      <c r="B101" s="386">
        <f>IF($E101="Y1",'Third_Line_MLTS-BATS'!B100,IF($E101="Y",Base!B97-Option7!I101,IF($E101="N",0)))</f>
        <v>-99.800000000000182</v>
      </c>
      <c r="C101" s="386">
        <f>IF($E101="Y1",'Third_Line_MLTS-BATS'!C100,IF($E101="Y",Base!C97-Option7!J101,IF($E101="N",0)))</f>
        <v>526.65000000000146</v>
      </c>
      <c r="D101" s="386">
        <f>IF($E101="Y1",'Third_Line_MLTS-BATS'!D100,IF($E101="Y",Base!D97-Option7!K101,IF($E101="N",0)))</f>
        <v>372.46512000000075</v>
      </c>
      <c r="E101" s="323" t="str">
        <f t="shared" si="19"/>
        <v>Y</v>
      </c>
      <c r="F101" s="52">
        <f t="shared" si="20"/>
        <v>23074.214184000048</v>
      </c>
      <c r="H101" s="72" t="s">
        <v>73</v>
      </c>
      <c r="I101" s="40">
        <v>1282.52</v>
      </c>
      <c r="J101" s="40">
        <v>16683.239999999998</v>
      </c>
      <c r="K101" s="40">
        <v>10325.572319999999</v>
      </c>
      <c r="L101" s="40">
        <f t="shared" si="18"/>
        <v>639669.20522400003</v>
      </c>
    </row>
    <row r="102" spans="1:12" s="332" customFormat="1" ht="15" thickBot="1" x14ac:dyDescent="0.35">
      <c r="E102" s="60">
        <f>SUM(COUNTIF(E92:E101,{"Y","Y1","Y2"}))</f>
        <v>6</v>
      </c>
      <c r="F102" s="62">
        <f>-PV($G$6,$G$7-E102,F101)</f>
        <v>221710.31455056442</v>
      </c>
      <c r="G102" s="55" t="s">
        <v>11</v>
      </c>
    </row>
    <row r="103" spans="1:12" ht="15" thickTop="1" x14ac:dyDescent="0.3"/>
    <row r="104" spans="1:12" x14ac:dyDescent="0.3">
      <c r="A104" s="363" t="s">
        <v>121</v>
      </c>
      <c r="B104" s="357"/>
      <c r="C104" s="357"/>
      <c r="D104" s="357"/>
      <c r="E104" s="357"/>
    </row>
    <row r="105" spans="1:12" x14ac:dyDescent="0.3">
      <c r="A105" s="408" t="s">
        <v>5</v>
      </c>
      <c r="B105" s="72" t="s">
        <v>3</v>
      </c>
      <c r="C105" s="344">
        <f>NPV_Summary!$F$35*Option1a!$G$5+Option1a!$G$5</f>
        <v>74.34</v>
      </c>
      <c r="D105" s="26">
        <f>NPV_Summary!$G$35*Option1a!$G$5+Option1a!$G$5</f>
        <v>49.56</v>
      </c>
      <c r="E105" s="357"/>
    </row>
    <row r="106" spans="1:12" ht="43.2" x14ac:dyDescent="0.3">
      <c r="A106" s="408"/>
      <c r="B106" s="51" t="s">
        <v>12</v>
      </c>
      <c r="C106" s="50" t="s">
        <v>25</v>
      </c>
      <c r="D106" s="50" t="s">
        <v>25</v>
      </c>
      <c r="E106" s="357"/>
    </row>
    <row r="107" spans="1:12" x14ac:dyDescent="0.3">
      <c r="A107" s="362" t="s">
        <v>64</v>
      </c>
      <c r="B107" s="3" t="str">
        <f>H17</f>
        <v>N</v>
      </c>
      <c r="C107" s="5">
        <f>IF(OR(B107="Y",B107="Y1",B107="Y2"),D17*$C$105/1000,0)</f>
        <v>0</v>
      </c>
      <c r="D107" s="5">
        <f>IF(OR(B107="Y",B107="Y1",B107="Y2"),D17*$D$105/1000,0)</f>
        <v>0</v>
      </c>
      <c r="E107" s="357"/>
    </row>
    <row r="108" spans="1:12" x14ac:dyDescent="0.3">
      <c r="A108" s="362" t="s">
        <v>65</v>
      </c>
      <c r="B108" s="3" t="str">
        <f t="shared" ref="B108:B116" si="21">H18</f>
        <v>N</v>
      </c>
      <c r="C108" s="5">
        <f t="shared" ref="C108:C116" si="22">IF(OR(B108="Y",B108="Y1",B108="Y2"),D18*$C$105/1000,0)</f>
        <v>0</v>
      </c>
      <c r="D108" s="5">
        <f t="shared" ref="D108:D116" si="23">IF(OR(B108="Y",B108="Y1",B108="Y2"),D18*$D$105/1000,0)</f>
        <v>0</v>
      </c>
      <c r="E108" s="357"/>
    </row>
    <row r="109" spans="1:12" x14ac:dyDescent="0.3">
      <c r="A109" s="362" t="s">
        <v>66</v>
      </c>
      <c r="B109" s="3" t="str">
        <f t="shared" si="21"/>
        <v>N</v>
      </c>
      <c r="C109" s="5">
        <f t="shared" si="22"/>
        <v>0</v>
      </c>
      <c r="D109" s="5">
        <f t="shared" si="23"/>
        <v>0</v>
      </c>
      <c r="E109" s="357"/>
    </row>
    <row r="110" spans="1:12" x14ac:dyDescent="0.3">
      <c r="A110" s="362" t="s">
        <v>67</v>
      </c>
      <c r="B110" s="3" t="str">
        <f t="shared" si="21"/>
        <v>N</v>
      </c>
      <c r="C110" s="5">
        <f t="shared" si="22"/>
        <v>0</v>
      </c>
      <c r="D110" s="5">
        <f t="shared" si="23"/>
        <v>0</v>
      </c>
      <c r="E110" s="357"/>
    </row>
    <row r="111" spans="1:12" x14ac:dyDescent="0.3">
      <c r="A111" s="362" t="s">
        <v>68</v>
      </c>
      <c r="B111" s="3" t="str">
        <f t="shared" si="21"/>
        <v>Y1</v>
      </c>
      <c r="C111" s="5">
        <f t="shared" si="22"/>
        <v>33.353058493439974</v>
      </c>
      <c r="D111" s="5">
        <f t="shared" si="23"/>
        <v>22.235372328959983</v>
      </c>
      <c r="E111" s="357"/>
    </row>
    <row r="112" spans="1:12" x14ac:dyDescent="0.3">
      <c r="A112" s="362" t="s">
        <v>69</v>
      </c>
      <c r="B112" s="3" t="str">
        <f t="shared" si="21"/>
        <v>Y1</v>
      </c>
      <c r="C112" s="5">
        <f t="shared" si="22"/>
        <v>33.800595998399956</v>
      </c>
      <c r="D112" s="5">
        <f t="shared" si="23"/>
        <v>22.533730665599972</v>
      </c>
      <c r="E112" s="357"/>
    </row>
    <row r="113" spans="1:5" x14ac:dyDescent="0.3">
      <c r="A113" s="362" t="s">
        <v>70</v>
      </c>
      <c r="B113" s="3" t="str">
        <f t="shared" si="21"/>
        <v>Y1</v>
      </c>
      <c r="C113" s="5">
        <f t="shared" si="22"/>
        <v>42.203566157759951</v>
      </c>
      <c r="D113" s="5">
        <f t="shared" si="23"/>
        <v>28.135710771839967</v>
      </c>
      <c r="E113" s="357"/>
    </row>
    <row r="114" spans="1:5" x14ac:dyDescent="0.3">
      <c r="A114" s="362" t="s">
        <v>71</v>
      </c>
      <c r="B114" s="3" t="str">
        <f t="shared" si="21"/>
        <v>Y</v>
      </c>
      <c r="C114" s="5">
        <f t="shared" si="22"/>
        <v>68.471594452800019</v>
      </c>
      <c r="D114" s="5">
        <f t="shared" si="23"/>
        <v>45.647729635200022</v>
      </c>
      <c r="E114" s="357"/>
    </row>
    <row r="115" spans="1:5" x14ac:dyDescent="0.3">
      <c r="A115" s="362" t="s">
        <v>72</v>
      </c>
      <c r="B115" s="3" t="str">
        <f t="shared" si="21"/>
        <v>Y</v>
      </c>
      <c r="C115" s="5">
        <f t="shared" si="22"/>
        <v>68.94109853567997</v>
      </c>
      <c r="D115" s="5">
        <f t="shared" si="23"/>
        <v>45.960732357119973</v>
      </c>
      <c r="E115" s="357"/>
    </row>
    <row r="116" spans="1:5" x14ac:dyDescent="0.3">
      <c r="A116" s="362" t="s">
        <v>73</v>
      </c>
      <c r="B116" s="3" t="str">
        <f t="shared" si="21"/>
        <v>Y</v>
      </c>
      <c r="C116" s="5">
        <f t="shared" si="22"/>
        <v>79.469230438080046</v>
      </c>
      <c r="D116" s="5">
        <f t="shared" si="23"/>
        <v>52.979486958720031</v>
      </c>
      <c r="E116" s="357"/>
    </row>
    <row r="117" spans="1:5" x14ac:dyDescent="0.3">
      <c r="A117" s="357"/>
      <c r="B117" s="39">
        <f>SUM(COUNTIF(B107:B116,{"Y","Y1","Y2"}))</f>
        <v>6</v>
      </c>
      <c r="C117" s="47">
        <f>-PV($G$6,$G$7-B117,C116)</f>
        <v>763.58605051587654</v>
      </c>
      <c r="D117" s="47">
        <f>-PV($G$6,$G$7-B117,D116)</f>
        <v>509.05736701058436</v>
      </c>
      <c r="E117" s="357" t="s">
        <v>11</v>
      </c>
    </row>
    <row r="118" spans="1:5" ht="15" thickBot="1" x14ac:dyDescent="0.35">
      <c r="A118" s="357"/>
      <c r="B118" s="357"/>
      <c r="C118" s="13">
        <f>NPV($G$6,C107:C115,C116+C117)</f>
        <v>447.66084909518401</v>
      </c>
      <c r="D118" s="13">
        <f>NPV($G$6,D107:D115,D116+D117)</f>
        <v>298.44056606345606</v>
      </c>
      <c r="E118" s="357" t="s">
        <v>23</v>
      </c>
    </row>
    <row r="119" spans="1:5" ht="15" thickTop="1" x14ac:dyDescent="0.3"/>
  </sheetData>
  <mergeCells count="12">
    <mergeCell ref="A105:A106"/>
    <mergeCell ref="A15:I15"/>
    <mergeCell ref="A34:F34"/>
    <mergeCell ref="H34:L34"/>
    <mergeCell ref="A48:F48"/>
    <mergeCell ref="H48:L48"/>
    <mergeCell ref="A62:F62"/>
    <mergeCell ref="H62:L62"/>
    <mergeCell ref="A76:F76"/>
    <mergeCell ref="H76:L76"/>
    <mergeCell ref="A90:F90"/>
    <mergeCell ref="H90:L90"/>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zoomScale="70" zoomScaleNormal="70" workbookViewId="0">
      <selection activeCell="A28" sqref="A28"/>
    </sheetView>
  </sheetViews>
  <sheetFormatPr defaultRowHeight="14.4" x14ac:dyDescent="0.3"/>
  <cols>
    <col min="1" max="1" width="38.77734375" style="357" customWidth="1"/>
    <col min="2" max="13" width="15.77734375" style="357" customWidth="1"/>
    <col min="14" max="14" width="14.21875" style="357" customWidth="1"/>
    <col min="15" max="15" width="15.109375" style="357" customWidth="1"/>
    <col min="16" max="17" width="10.77734375" style="357" customWidth="1"/>
    <col min="18" max="16384" width="8.88671875" style="357"/>
  </cols>
  <sheetData>
    <row r="1" spans="1:18" x14ac:dyDescent="0.3">
      <c r="A1" s="345" t="s">
        <v>104</v>
      </c>
    </row>
    <row r="2" spans="1:18" x14ac:dyDescent="0.3">
      <c r="A2" s="345" t="s">
        <v>122</v>
      </c>
    </row>
    <row r="3" spans="1:18" x14ac:dyDescent="0.3">
      <c r="A3" s="345"/>
    </row>
    <row r="5" spans="1:18" x14ac:dyDescent="0.3">
      <c r="A5" s="68" t="s">
        <v>31</v>
      </c>
      <c r="B5" s="69" t="s">
        <v>33</v>
      </c>
      <c r="C5" s="69" t="s">
        <v>34</v>
      </c>
      <c r="D5" s="69" t="s">
        <v>35</v>
      </c>
      <c r="F5" s="65" t="s">
        <v>3</v>
      </c>
      <c r="G5" s="346">
        <v>61.95</v>
      </c>
    </row>
    <row r="6" spans="1:18" x14ac:dyDescent="0.3">
      <c r="A6" s="378" t="s">
        <v>32</v>
      </c>
      <c r="B6" s="359">
        <f>$G$28</f>
        <v>18.190616895633198</v>
      </c>
      <c r="C6" s="378"/>
      <c r="D6" s="378"/>
      <c r="F6" s="66" t="s">
        <v>2</v>
      </c>
      <c r="G6" s="347">
        <v>0.1</v>
      </c>
    </row>
    <row r="7" spans="1:18" x14ac:dyDescent="0.3">
      <c r="A7" s="352" t="s">
        <v>123</v>
      </c>
      <c r="B7" s="353">
        <v>80</v>
      </c>
      <c r="C7" s="354"/>
      <c r="D7" s="354"/>
      <c r="F7" s="66" t="s">
        <v>1</v>
      </c>
      <c r="G7" s="348">
        <v>40</v>
      </c>
    </row>
    <row r="8" spans="1:18" x14ac:dyDescent="0.3">
      <c r="A8" s="352" t="s">
        <v>124</v>
      </c>
      <c r="B8" s="369">
        <v>90</v>
      </c>
      <c r="C8" s="31"/>
      <c r="D8" s="31"/>
      <c r="F8" s="66" t="s">
        <v>6</v>
      </c>
      <c r="G8" s="347">
        <v>0.2</v>
      </c>
    </row>
    <row r="9" spans="1:18" x14ac:dyDescent="0.3">
      <c r="A9" s="352" t="s">
        <v>125</v>
      </c>
      <c r="B9" s="375">
        <v>0.9</v>
      </c>
      <c r="C9" s="32">
        <f>-PV($G$6,$G$7,C7*C8)</f>
        <v>0</v>
      </c>
      <c r="D9" s="32">
        <f>-PV($G$6,$G$7,D7*D8)</f>
        <v>0</v>
      </c>
      <c r="F9" s="66" t="s">
        <v>7</v>
      </c>
      <c r="G9" s="347">
        <v>0.2</v>
      </c>
    </row>
    <row r="10" spans="1:18" x14ac:dyDescent="0.3">
      <c r="A10" s="352" t="s">
        <v>126</v>
      </c>
      <c r="B10" s="376">
        <v>21</v>
      </c>
      <c r="C10" s="32">
        <f>C7+C9</f>
        <v>0</v>
      </c>
      <c r="D10" s="32">
        <f>D7+D9</f>
        <v>0</v>
      </c>
      <c r="F10" s="66" t="s">
        <v>8</v>
      </c>
      <c r="G10" s="347">
        <v>0.2</v>
      </c>
    </row>
    <row r="11" spans="1:18" x14ac:dyDescent="0.3">
      <c r="A11" s="352" t="s">
        <v>15</v>
      </c>
      <c r="B11" s="370">
        <f>$B$10*$B$8/1000</f>
        <v>1.89</v>
      </c>
      <c r="C11" s="32">
        <f>-PMT($G$6,$G$7,C10)</f>
        <v>0</v>
      </c>
      <c r="D11" s="32">
        <f>-PMT($G$6,$G$7,D10)</f>
        <v>0</v>
      </c>
      <c r="F11" s="66" t="s">
        <v>9</v>
      </c>
      <c r="G11" s="347">
        <v>0.2</v>
      </c>
    </row>
    <row r="12" spans="1:18" x14ac:dyDescent="0.3">
      <c r="A12" s="355"/>
      <c r="B12" s="371"/>
      <c r="C12" s="351"/>
      <c r="D12" s="351"/>
      <c r="F12" s="67" t="s">
        <v>10</v>
      </c>
      <c r="G12" s="349">
        <v>0.2</v>
      </c>
    </row>
    <row r="13" spans="1:18" x14ac:dyDescent="0.3">
      <c r="A13" s="355"/>
      <c r="B13" s="372"/>
      <c r="C13" s="351"/>
      <c r="D13" s="351"/>
    </row>
    <row r="15" spans="1:18" ht="15.6" x14ac:dyDescent="0.3">
      <c r="A15" s="412" t="s">
        <v>57</v>
      </c>
      <c r="B15" s="413"/>
      <c r="C15" s="413"/>
      <c r="D15" s="413"/>
      <c r="E15" s="413"/>
      <c r="F15" s="413"/>
      <c r="G15" s="413"/>
      <c r="H15" s="413"/>
      <c r="I15" s="413"/>
      <c r="J15" s="413"/>
      <c r="M15" s="380"/>
      <c r="N15" s="380"/>
      <c r="O15" s="380"/>
      <c r="P15" s="380"/>
      <c r="Q15" s="380"/>
      <c r="R15" s="355"/>
    </row>
    <row r="16" spans="1:18" s="351" customFormat="1" ht="57.6" x14ac:dyDescent="0.3">
      <c r="A16" s="365" t="s">
        <v>5</v>
      </c>
      <c r="B16" s="51" t="s">
        <v>151</v>
      </c>
      <c r="C16" s="51" t="s">
        <v>152</v>
      </c>
      <c r="D16" s="51" t="s">
        <v>153</v>
      </c>
      <c r="E16" s="374" t="s">
        <v>145</v>
      </c>
      <c r="F16" s="50" t="s">
        <v>25</v>
      </c>
      <c r="G16" s="50" t="s">
        <v>15</v>
      </c>
      <c r="H16" s="51" t="s">
        <v>154</v>
      </c>
      <c r="I16" s="50" t="s">
        <v>12</v>
      </c>
      <c r="J16" s="50" t="s">
        <v>24</v>
      </c>
      <c r="K16" s="35"/>
      <c r="M16" s="36"/>
      <c r="N16" s="37"/>
      <c r="O16" s="37"/>
      <c r="P16" s="37"/>
      <c r="Q16" s="38"/>
      <c r="R16" s="39"/>
    </row>
    <row r="17" spans="1:18" s="351" customFormat="1" x14ac:dyDescent="0.3">
      <c r="A17" s="72" t="s">
        <v>64</v>
      </c>
      <c r="B17" s="365">
        <f>MAX(B36,B50,B64,B78,B92)</f>
        <v>0</v>
      </c>
      <c r="C17" s="365">
        <f>MAX(C36,C50,C64,C78,C92)</f>
        <v>0</v>
      </c>
      <c r="D17" s="365">
        <f t="shared" ref="D17:D26" si="0">$G$8*D36+$G$9*D50+$G$10*D64+$G$11*D78+$G$12*D92</f>
        <v>0</v>
      </c>
      <c r="E17" s="368">
        <f t="shared" ref="E17:E26" si="1">$B$9*D17</f>
        <v>0</v>
      </c>
      <c r="F17" s="41">
        <f>(D17*$G$5-E17)/1000</f>
        <v>0</v>
      </c>
      <c r="G17" s="367">
        <f t="shared" ref="G17" si="2">$B$13</f>
        <v>0</v>
      </c>
      <c r="H17" s="41">
        <f t="shared" ref="H17:H26" si="3">F17-G17</f>
        <v>0</v>
      </c>
      <c r="I17" s="42" t="s">
        <v>14</v>
      </c>
      <c r="J17" s="41">
        <f>IF(OR(I17="Y",I17="Y1",I17="Y2"),F17,0)</f>
        <v>0</v>
      </c>
      <c r="K17" s="43"/>
      <c r="M17" s="44"/>
      <c r="N17" s="45"/>
      <c r="O17" s="45"/>
      <c r="P17" s="45"/>
      <c r="Q17" s="33"/>
      <c r="R17" s="39"/>
    </row>
    <row r="18" spans="1:18" s="351" customFormat="1" x14ac:dyDescent="0.3">
      <c r="A18" s="72" t="s">
        <v>65</v>
      </c>
      <c r="B18" s="365">
        <f t="shared" ref="B18:C26" si="4">MAX(B37,B51,B65,B79,B93)</f>
        <v>21.009999999999991</v>
      </c>
      <c r="C18" s="365">
        <f t="shared" si="4"/>
        <v>167.3799999999992</v>
      </c>
      <c r="D18" s="365">
        <f t="shared" si="0"/>
        <v>90.455520000000249</v>
      </c>
      <c r="E18" s="368">
        <f t="shared" si="1"/>
        <v>81.409968000000219</v>
      </c>
      <c r="F18" s="41">
        <f t="shared" ref="F18:F26" si="5">(D18*$G$5-E18)/1000</f>
        <v>5.5223094960000152</v>
      </c>
      <c r="G18" s="367">
        <f>$B$11+$B$10*$B$7/1000</f>
        <v>3.57</v>
      </c>
      <c r="H18" s="41">
        <f t="shared" si="3"/>
        <v>1.9523094960000154</v>
      </c>
      <c r="I18" s="42" t="s">
        <v>13</v>
      </c>
      <c r="J18" s="41">
        <f t="shared" ref="J18:J26" si="6">IF(OR(I18="Y",I18="Y1",I18="Y2"),F18,0)</f>
        <v>5.5223094960000152</v>
      </c>
      <c r="K18" s="43"/>
      <c r="M18" s="44"/>
      <c r="N18" s="45"/>
      <c r="O18" s="45"/>
      <c r="P18" s="45"/>
      <c r="Q18" s="33"/>
      <c r="R18" s="39"/>
    </row>
    <row r="19" spans="1:18" s="351" customFormat="1" x14ac:dyDescent="0.3">
      <c r="A19" s="72" t="s">
        <v>66</v>
      </c>
      <c r="B19" s="365">
        <f t="shared" si="4"/>
        <v>22.660000000000082</v>
      </c>
      <c r="C19" s="365">
        <f t="shared" si="4"/>
        <v>184.70000000000073</v>
      </c>
      <c r="D19" s="365">
        <f t="shared" si="0"/>
        <v>104.79523199999969</v>
      </c>
      <c r="E19" s="368">
        <f t="shared" si="1"/>
        <v>94.315708799999726</v>
      </c>
      <c r="F19" s="41">
        <f t="shared" si="5"/>
        <v>6.3977489135999814</v>
      </c>
      <c r="G19" s="367">
        <f t="shared" ref="G19:G26" si="7">$B$11</f>
        <v>1.89</v>
      </c>
      <c r="H19" s="41">
        <f t="shared" si="3"/>
        <v>4.5077489135999818</v>
      </c>
      <c r="I19" s="42" t="s">
        <v>13</v>
      </c>
      <c r="J19" s="41">
        <f t="shared" si="6"/>
        <v>6.3977489135999814</v>
      </c>
      <c r="K19" s="43"/>
      <c r="M19" s="44"/>
      <c r="N19" s="45"/>
      <c r="O19" s="45"/>
      <c r="P19" s="45"/>
      <c r="Q19" s="33"/>
      <c r="R19" s="39"/>
    </row>
    <row r="20" spans="1:18" s="351" customFormat="1" x14ac:dyDescent="0.3">
      <c r="A20" s="72" t="s">
        <v>67</v>
      </c>
      <c r="B20" s="365">
        <f t="shared" si="4"/>
        <v>21.909999999999854</v>
      </c>
      <c r="C20" s="365">
        <f t="shared" si="4"/>
        <v>311.21000000000095</v>
      </c>
      <c r="D20" s="365">
        <f t="shared" si="0"/>
        <v>128.93214400000051</v>
      </c>
      <c r="E20" s="368">
        <f t="shared" si="1"/>
        <v>116.03892960000046</v>
      </c>
      <c r="F20" s="41">
        <f t="shared" si="5"/>
        <v>7.8713073912000322</v>
      </c>
      <c r="G20" s="367">
        <f t="shared" si="7"/>
        <v>1.89</v>
      </c>
      <c r="H20" s="41">
        <f t="shared" si="3"/>
        <v>5.9813073912000325</v>
      </c>
      <c r="I20" s="42" t="s">
        <v>13</v>
      </c>
      <c r="J20" s="41">
        <f t="shared" si="6"/>
        <v>7.8713073912000322</v>
      </c>
      <c r="K20" s="43"/>
      <c r="M20" s="44"/>
      <c r="N20" s="45"/>
      <c r="O20" s="45"/>
      <c r="P20" s="45"/>
      <c r="Q20" s="33"/>
      <c r="R20" s="39"/>
    </row>
    <row r="21" spans="1:18" s="351" customFormat="1" x14ac:dyDescent="0.3">
      <c r="A21" s="72" t="s">
        <v>68</v>
      </c>
      <c r="B21" s="365">
        <f t="shared" si="4"/>
        <v>22.480000000000132</v>
      </c>
      <c r="C21" s="365">
        <f t="shared" si="4"/>
        <v>400.14999999999782</v>
      </c>
      <c r="D21" s="365">
        <f t="shared" si="0"/>
        <v>133.52523199999996</v>
      </c>
      <c r="E21" s="368">
        <f t="shared" si="1"/>
        <v>120.17270879999997</v>
      </c>
      <c r="F21" s="41">
        <f t="shared" si="5"/>
        <v>8.1517154135999981</v>
      </c>
      <c r="G21" s="367">
        <f t="shared" si="7"/>
        <v>1.89</v>
      </c>
      <c r="H21" s="41">
        <f t="shared" si="3"/>
        <v>6.2617154135999984</v>
      </c>
      <c r="I21" s="42" t="s">
        <v>13</v>
      </c>
      <c r="J21" s="41">
        <f t="shared" si="6"/>
        <v>8.1517154135999981</v>
      </c>
      <c r="K21" s="43"/>
      <c r="M21" s="44"/>
      <c r="N21" s="45"/>
      <c r="O21" s="45"/>
      <c r="P21" s="45"/>
      <c r="Q21" s="33"/>
      <c r="R21" s="39"/>
    </row>
    <row r="22" spans="1:18" s="351" customFormat="1" x14ac:dyDescent="0.3">
      <c r="A22" s="72" t="s">
        <v>69</v>
      </c>
      <c r="B22" s="365">
        <f t="shared" si="4"/>
        <v>23.849999999999909</v>
      </c>
      <c r="C22" s="365">
        <f t="shared" si="4"/>
        <v>429.57999999999811</v>
      </c>
      <c r="D22" s="365">
        <f t="shared" si="0"/>
        <v>147.00863999999982</v>
      </c>
      <c r="E22" s="368">
        <f t="shared" si="1"/>
        <v>132.30777599999985</v>
      </c>
      <c r="F22" s="41">
        <f t="shared" si="5"/>
        <v>8.9748774719999886</v>
      </c>
      <c r="G22" s="367">
        <f t="shared" si="7"/>
        <v>1.89</v>
      </c>
      <c r="H22" s="41">
        <f t="shared" si="3"/>
        <v>7.084877471999989</v>
      </c>
      <c r="I22" s="42" t="s">
        <v>13</v>
      </c>
      <c r="J22" s="41">
        <f t="shared" si="6"/>
        <v>8.9748774719999886</v>
      </c>
      <c r="K22" s="43"/>
      <c r="M22" s="44"/>
      <c r="N22" s="45"/>
      <c r="O22" s="45"/>
      <c r="P22" s="45"/>
      <c r="Q22" s="33"/>
      <c r="R22" s="39"/>
    </row>
    <row r="23" spans="1:18" s="351" customFormat="1" x14ac:dyDescent="0.3">
      <c r="A23" s="72" t="s">
        <v>70</v>
      </c>
      <c r="B23" s="365">
        <f t="shared" si="4"/>
        <v>28.710000000000036</v>
      </c>
      <c r="C23" s="365">
        <f t="shared" si="4"/>
        <v>408.69999999999891</v>
      </c>
      <c r="D23" s="365">
        <f t="shared" si="0"/>
        <v>162.95908800000035</v>
      </c>
      <c r="E23" s="368">
        <f t="shared" si="1"/>
        <v>146.66317920000031</v>
      </c>
      <c r="F23" s="41">
        <f t="shared" si="5"/>
        <v>9.9486523224000205</v>
      </c>
      <c r="G23" s="367">
        <f t="shared" si="7"/>
        <v>1.89</v>
      </c>
      <c r="H23" s="41">
        <f t="shared" si="3"/>
        <v>8.0586523224000199</v>
      </c>
      <c r="I23" s="42" t="s">
        <v>13</v>
      </c>
      <c r="J23" s="41">
        <f t="shared" si="6"/>
        <v>9.9486523224000205</v>
      </c>
      <c r="K23" s="43"/>
      <c r="M23" s="44"/>
      <c r="N23" s="45"/>
      <c r="O23" s="45"/>
      <c r="P23" s="45"/>
      <c r="Q23" s="33"/>
      <c r="R23" s="39"/>
    </row>
    <row r="24" spans="1:18" s="351" customFormat="1" x14ac:dyDescent="0.3">
      <c r="A24" s="72" t="s">
        <v>71</v>
      </c>
      <c r="B24" s="365">
        <f t="shared" si="4"/>
        <v>28.320000000000164</v>
      </c>
      <c r="C24" s="365">
        <f t="shared" si="4"/>
        <v>661.84999999999854</v>
      </c>
      <c r="D24" s="365">
        <f t="shared" si="0"/>
        <v>190.46878399999986</v>
      </c>
      <c r="E24" s="368">
        <f t="shared" si="1"/>
        <v>171.42190559999989</v>
      </c>
      <c r="F24" s="41">
        <f t="shared" si="5"/>
        <v>11.628119263199991</v>
      </c>
      <c r="G24" s="367">
        <f t="shared" si="7"/>
        <v>1.89</v>
      </c>
      <c r="H24" s="41">
        <f t="shared" si="3"/>
        <v>9.7381192631999909</v>
      </c>
      <c r="I24" s="46" t="s">
        <v>13</v>
      </c>
      <c r="J24" s="41">
        <f t="shared" si="6"/>
        <v>11.628119263199991</v>
      </c>
      <c r="K24" s="43"/>
      <c r="M24" s="44"/>
      <c r="N24" s="45"/>
      <c r="O24" s="45"/>
      <c r="P24" s="45"/>
      <c r="Q24" s="33"/>
      <c r="R24" s="39"/>
    </row>
    <row r="25" spans="1:18" s="351" customFormat="1" x14ac:dyDescent="0.3">
      <c r="A25" s="72" t="s">
        <v>72</v>
      </c>
      <c r="B25" s="365">
        <f t="shared" si="4"/>
        <v>27.489999999999782</v>
      </c>
      <c r="C25" s="365">
        <f t="shared" si="4"/>
        <v>843.58000000000175</v>
      </c>
      <c r="D25" s="365">
        <f t="shared" si="0"/>
        <v>196.03955199999913</v>
      </c>
      <c r="E25" s="368">
        <f t="shared" si="1"/>
        <v>176.43559679999922</v>
      </c>
      <c r="F25" s="41">
        <f t="shared" si="5"/>
        <v>11.968214649599947</v>
      </c>
      <c r="G25" s="367">
        <f t="shared" si="7"/>
        <v>1.89</v>
      </c>
      <c r="H25" s="41">
        <f t="shared" si="3"/>
        <v>10.078214649599946</v>
      </c>
      <c r="I25" s="46" t="s">
        <v>13</v>
      </c>
      <c r="J25" s="41">
        <f t="shared" si="6"/>
        <v>11.968214649599947</v>
      </c>
      <c r="K25" s="43"/>
      <c r="M25" s="44"/>
      <c r="N25" s="45"/>
      <c r="O25" s="45"/>
      <c r="P25" s="45"/>
      <c r="Q25" s="33"/>
      <c r="R25" s="39"/>
    </row>
    <row r="26" spans="1:18" s="351" customFormat="1" x14ac:dyDescent="0.3">
      <c r="A26" s="72" t="s">
        <v>73</v>
      </c>
      <c r="B26" s="365">
        <f t="shared" si="4"/>
        <v>28.2800000000002</v>
      </c>
      <c r="C26" s="365">
        <f t="shared" si="4"/>
        <v>1180.8400000000038</v>
      </c>
      <c r="D26" s="365">
        <f t="shared" si="0"/>
        <v>239.95908800000035</v>
      </c>
      <c r="E26" s="368">
        <f t="shared" si="1"/>
        <v>215.96317920000033</v>
      </c>
      <c r="F26" s="41">
        <f t="shared" si="5"/>
        <v>14.649502322400021</v>
      </c>
      <c r="G26" s="367">
        <f t="shared" si="7"/>
        <v>1.89</v>
      </c>
      <c r="H26" s="41">
        <f t="shared" si="3"/>
        <v>12.759502322400021</v>
      </c>
      <c r="I26" s="46" t="s">
        <v>13</v>
      </c>
      <c r="J26" s="41">
        <f t="shared" si="6"/>
        <v>14.649502322400021</v>
      </c>
      <c r="K26" s="43"/>
      <c r="M26" s="44"/>
      <c r="N26" s="45"/>
      <c r="O26" s="45"/>
      <c r="P26" s="45"/>
      <c r="Q26" s="33"/>
      <c r="R26" s="39"/>
    </row>
    <row r="27" spans="1:18" s="351" customFormat="1" x14ac:dyDescent="0.3">
      <c r="E27" s="373"/>
      <c r="G27" s="47">
        <f>-PV($G$6,$G$7-I27,G26)</f>
        <v>17.915334856916296</v>
      </c>
      <c r="H27" s="56" t="s">
        <v>11</v>
      </c>
      <c r="I27" s="39">
        <f>SUM(COUNTIF(I17:I26,{"Y","Y1","Y2"}))</f>
        <v>9</v>
      </c>
      <c r="J27" s="47">
        <f>-PV($G$6,$G$7-I27,J26)</f>
        <v>138.86282518146524</v>
      </c>
      <c r="K27" s="56" t="s">
        <v>11</v>
      </c>
      <c r="L27" s="39"/>
      <c r="M27" s="39"/>
      <c r="Q27" s="45"/>
    </row>
    <row r="28" spans="1:18" s="351" customFormat="1" ht="15" thickBot="1" x14ac:dyDescent="0.35">
      <c r="E28" s="373"/>
      <c r="G28" s="61">
        <f>NPV($G$6,G17:G25,G26+G27)</f>
        <v>18.190616895633198</v>
      </c>
      <c r="H28" s="56" t="s">
        <v>23</v>
      </c>
      <c r="I28" s="39"/>
      <c r="J28" s="61">
        <f>NPV($G$6,J17:J25,J26+J27)</f>
        <v>99.665656936209373</v>
      </c>
      <c r="K28" s="56" t="s">
        <v>23</v>
      </c>
      <c r="L28" s="39"/>
      <c r="M28" s="39"/>
      <c r="Q28" s="45"/>
    </row>
    <row r="29" spans="1:18" s="351" customFormat="1" ht="15" thickTop="1" x14ac:dyDescent="0.3">
      <c r="I29" s="47"/>
      <c r="J29" s="39"/>
      <c r="K29" s="47"/>
      <c r="L29" s="39"/>
      <c r="M29" s="39"/>
    </row>
    <row r="30" spans="1:18" s="351" customFormat="1" ht="43.2" x14ac:dyDescent="0.3">
      <c r="A30" s="364"/>
      <c r="B30" s="63" t="s">
        <v>16</v>
      </c>
      <c r="C30" s="63" t="s">
        <v>17</v>
      </c>
      <c r="D30" s="63" t="s">
        <v>18</v>
      </c>
      <c r="E30" s="63" t="s">
        <v>19</v>
      </c>
      <c r="F30" s="63" t="s">
        <v>20</v>
      </c>
      <c r="G30" s="63" t="s">
        <v>21</v>
      </c>
      <c r="H30" s="64" t="s">
        <v>28</v>
      </c>
      <c r="I30" s="64" t="s">
        <v>37</v>
      </c>
      <c r="K30" s="39"/>
      <c r="L30" s="39"/>
      <c r="M30" s="39"/>
    </row>
    <row r="31" spans="1:18" s="351" customFormat="1" x14ac:dyDescent="0.3">
      <c r="A31" s="344" t="s">
        <v>22</v>
      </c>
      <c r="B31" s="48">
        <f>NPV($G$6,G36:G44,G45+G46)/1000</f>
        <v>64.943519602047076</v>
      </c>
      <c r="C31" s="48">
        <f>NPV($G$6,G50:G58,G59+G60)/1000</f>
        <v>202.69807715513113</v>
      </c>
      <c r="D31" s="48">
        <f>NPV($G$6,G64:G72,G73+G74)/1000</f>
        <v>59.902960356195955</v>
      </c>
      <c r="E31" s="48">
        <f>NPV($G$6,G78:G86,G87+G88)/1000</f>
        <v>126.29262649063553</v>
      </c>
      <c r="F31" s="48">
        <f>NPV($G$6,G92:G100,G101+G102)/1000</f>
        <v>44.491101077037271</v>
      </c>
      <c r="G31" s="49">
        <f>B31*G8+C31*G9+D31*G10+E31*G11+F31*G12</f>
        <v>99.665656936209388</v>
      </c>
      <c r="H31" s="359">
        <f>$B$6</f>
        <v>18.190616895633198</v>
      </c>
      <c r="I31" s="48">
        <f>G31-H31</f>
        <v>81.475040040576189</v>
      </c>
    </row>
    <row r="32" spans="1:18" s="351" customFormat="1" x14ac:dyDescent="0.3">
      <c r="I32" s="356"/>
    </row>
    <row r="33" spans="1:14" s="351" customFormat="1" x14ac:dyDescent="0.3"/>
    <row r="34" spans="1:14" s="351" customFormat="1" ht="15.6" x14ac:dyDescent="0.3">
      <c r="A34" s="406" t="s">
        <v>52</v>
      </c>
      <c r="B34" s="406"/>
      <c r="C34" s="406"/>
      <c r="D34" s="406"/>
      <c r="E34" s="406"/>
      <c r="F34" s="406"/>
      <c r="G34" s="406"/>
      <c r="I34" s="409" t="s">
        <v>59</v>
      </c>
      <c r="J34" s="410"/>
      <c r="K34" s="410"/>
      <c r="L34" s="410"/>
      <c r="M34" s="411"/>
    </row>
    <row r="35" spans="1:14" s="351" customFormat="1" ht="57.6" x14ac:dyDescent="0.3">
      <c r="A35" s="342" t="s">
        <v>5</v>
      </c>
      <c r="B35" s="51" t="s">
        <v>151</v>
      </c>
      <c r="C35" s="51" t="s">
        <v>152</v>
      </c>
      <c r="D35" s="51" t="s">
        <v>153</v>
      </c>
      <c r="E35" s="374" t="s">
        <v>145</v>
      </c>
      <c r="F35" s="51" t="s">
        <v>12</v>
      </c>
      <c r="G35" s="51" t="s">
        <v>134</v>
      </c>
      <c r="I35" s="342" t="s">
        <v>5</v>
      </c>
      <c r="J35" s="51" t="s">
        <v>75</v>
      </c>
      <c r="K35" s="51" t="s">
        <v>51</v>
      </c>
      <c r="L35" s="50" t="s">
        <v>0</v>
      </c>
      <c r="M35" s="51" t="s">
        <v>58</v>
      </c>
    </row>
    <row r="36" spans="1:14" s="351" customFormat="1" x14ac:dyDescent="0.3">
      <c r="A36" s="72" t="s">
        <v>64</v>
      </c>
      <c r="B36" s="365">
        <f>IF($F36="N",0,Base!B32-Option8!J36)</f>
        <v>0</v>
      </c>
      <c r="C36" s="386">
        <f>IF($F36="N",0,Base!C32-Option8!K36)</f>
        <v>0</v>
      </c>
      <c r="D36" s="386">
        <f>IF($F36="N",0,Base!D32-Option8!L36)</f>
        <v>0</v>
      </c>
      <c r="E36" s="368">
        <f t="shared" ref="E36:E45" si="8">D36*$B$9</f>
        <v>0</v>
      </c>
      <c r="F36" s="343" t="str">
        <f t="shared" ref="F36:F45" si="9">I17</f>
        <v>N</v>
      </c>
      <c r="G36" s="52">
        <f>IF(OR(F36="Y",F36="Y1",F36="Y2"),D36*$G$5-E36,0)</f>
        <v>0</v>
      </c>
      <c r="I36" s="72" t="s">
        <v>64</v>
      </c>
      <c r="J36" s="365">
        <v>784.46</v>
      </c>
      <c r="K36" s="365">
        <v>10062.910000000002</v>
      </c>
      <c r="L36" s="365">
        <v>7975.6825599999993</v>
      </c>
      <c r="M36" s="365">
        <f t="shared" ref="M36:M45" si="10">L36*$G$5</f>
        <v>494093.53459199995</v>
      </c>
      <c r="N36" s="53"/>
    </row>
    <row r="37" spans="1:14" s="351" customFormat="1" x14ac:dyDescent="0.3">
      <c r="A37" s="72" t="s">
        <v>65</v>
      </c>
      <c r="B37" s="386">
        <f>IF($F37="N",0,Base!B33-Option8!J37)</f>
        <v>19.350000000000023</v>
      </c>
      <c r="C37" s="386">
        <f>IF($F37="N",0,Base!C33-Option8!K37)</f>
        <v>152.35000000000036</v>
      </c>
      <c r="D37" s="386">
        <f>IF($F37="N",0,Base!D33-Option8!L37)</f>
        <v>97.85320000000047</v>
      </c>
      <c r="E37" s="368">
        <f t="shared" si="8"/>
        <v>88.067880000000429</v>
      </c>
      <c r="F37" s="343" t="str">
        <f t="shared" si="9"/>
        <v>Y</v>
      </c>
      <c r="G37" s="52">
        <f t="shared" ref="G37:G45" si="11">IF(OR(F37="Y",F37="Y1",F37="Y2"),D37*$G$5-E37,0)</f>
        <v>5973.9378600000291</v>
      </c>
      <c r="I37" s="72" t="s">
        <v>65</v>
      </c>
      <c r="J37" s="365">
        <v>830.79000000000008</v>
      </c>
      <c r="K37" s="365">
        <v>10000.18</v>
      </c>
      <c r="L37" s="365">
        <v>7887.0752799999991</v>
      </c>
      <c r="M37" s="365">
        <f t="shared" si="10"/>
        <v>488604.31359599996</v>
      </c>
    </row>
    <row r="38" spans="1:14" s="351" customFormat="1" x14ac:dyDescent="0.3">
      <c r="A38" s="72" t="s">
        <v>66</v>
      </c>
      <c r="B38" s="386">
        <f>IF($F38="N",0,Base!B34-Option8!J38)</f>
        <v>17.579999999999927</v>
      </c>
      <c r="C38" s="386">
        <f>IF($F38="N",0,Base!C34-Option8!K38)</f>
        <v>140.85999999999876</v>
      </c>
      <c r="D38" s="386">
        <f>IF($F38="N",0,Base!D34-Option8!L38)</f>
        <v>119.58327999999892</v>
      </c>
      <c r="E38" s="368">
        <f t="shared" si="8"/>
        <v>107.62495199999903</v>
      </c>
      <c r="F38" s="343" t="str">
        <f t="shared" si="9"/>
        <v>Y</v>
      </c>
      <c r="G38" s="52">
        <f t="shared" si="11"/>
        <v>7300.5592439999346</v>
      </c>
      <c r="I38" s="72" t="s">
        <v>66</v>
      </c>
      <c r="J38" s="365">
        <v>922.48000000000013</v>
      </c>
      <c r="K38" s="365">
        <v>10319.500000000002</v>
      </c>
      <c r="L38" s="365">
        <v>8109.1571199999998</v>
      </c>
      <c r="M38" s="365">
        <f t="shared" si="10"/>
        <v>502362.28358400002</v>
      </c>
    </row>
    <row r="39" spans="1:14" s="351" customFormat="1" x14ac:dyDescent="0.3">
      <c r="A39" s="72" t="s">
        <v>67</v>
      </c>
      <c r="B39" s="386">
        <f>IF($F39="N",0,Base!B35-Option8!J39)</f>
        <v>12.759999999999991</v>
      </c>
      <c r="C39" s="386">
        <f>IF($F39="N",0,Base!C35-Option8!K39)</f>
        <v>139.47999999999956</v>
      </c>
      <c r="D39" s="386">
        <f>IF($F39="N",0,Base!D35-Option8!L39)</f>
        <v>107.03944000000047</v>
      </c>
      <c r="E39" s="368">
        <f t="shared" si="8"/>
        <v>96.335496000000418</v>
      </c>
      <c r="F39" s="343" t="str">
        <f t="shared" si="9"/>
        <v>Y</v>
      </c>
      <c r="G39" s="52">
        <f t="shared" si="11"/>
        <v>6534.7578120000289</v>
      </c>
      <c r="I39" s="72" t="s">
        <v>67</v>
      </c>
      <c r="J39" s="365">
        <v>979.80000000000007</v>
      </c>
      <c r="K39" s="365">
        <v>10566.670000000002</v>
      </c>
      <c r="L39" s="365">
        <v>8220.5305599999992</v>
      </c>
      <c r="M39" s="365">
        <f t="shared" si="10"/>
        <v>509261.86819199997</v>
      </c>
    </row>
    <row r="40" spans="1:14" s="351" customFormat="1" x14ac:dyDescent="0.3">
      <c r="A40" s="72" t="s">
        <v>68</v>
      </c>
      <c r="B40" s="386">
        <f>IF($F40="N",0,Base!B36-Option8!J40)</f>
        <v>21.990000000000009</v>
      </c>
      <c r="C40" s="386">
        <f>IF($F40="N",0,Base!C36-Option8!K40)</f>
        <v>124.48999999999796</v>
      </c>
      <c r="D40" s="386">
        <f>IF($F40="N",0,Base!D36-Option8!L40)</f>
        <v>109.40768000000025</v>
      </c>
      <c r="E40" s="368">
        <f t="shared" si="8"/>
        <v>98.466912000000235</v>
      </c>
      <c r="F40" s="343" t="str">
        <f t="shared" si="9"/>
        <v>Y</v>
      </c>
      <c r="G40" s="52">
        <f t="shared" si="11"/>
        <v>6679.3388640000167</v>
      </c>
      <c r="I40" s="72" t="s">
        <v>68</v>
      </c>
      <c r="J40" s="365">
        <v>1107.95</v>
      </c>
      <c r="K40" s="365">
        <v>10932.800000000001</v>
      </c>
      <c r="L40" s="365">
        <v>8350.2223999999987</v>
      </c>
      <c r="M40" s="365">
        <f t="shared" si="10"/>
        <v>517296.27767999994</v>
      </c>
    </row>
    <row r="41" spans="1:14" s="351" customFormat="1" x14ac:dyDescent="0.3">
      <c r="A41" s="72" t="s">
        <v>69</v>
      </c>
      <c r="B41" s="386">
        <f>IF($F41="N",0,Base!B37-Option8!J41)</f>
        <v>22.720000000000027</v>
      </c>
      <c r="C41" s="386">
        <f>IF($F41="N",0,Base!C37-Option8!K41)</f>
        <v>152.24999999999818</v>
      </c>
      <c r="D41" s="386">
        <f>IF($F41="N",0,Base!D37-Option8!L41)</f>
        <v>121.73040000000037</v>
      </c>
      <c r="E41" s="368">
        <f t="shared" si="8"/>
        <v>109.55736000000034</v>
      </c>
      <c r="F41" s="343" t="str">
        <f t="shared" si="9"/>
        <v>Y</v>
      </c>
      <c r="G41" s="52">
        <f t="shared" si="11"/>
        <v>7431.6409200000226</v>
      </c>
      <c r="I41" s="72" t="s">
        <v>69</v>
      </c>
      <c r="J41" s="365">
        <v>1146.0900000000001</v>
      </c>
      <c r="K41" s="365">
        <v>11565.07</v>
      </c>
      <c r="L41" s="365">
        <v>8759.2016799999983</v>
      </c>
      <c r="M41" s="365">
        <f t="shared" si="10"/>
        <v>542632.54407599987</v>
      </c>
    </row>
    <row r="42" spans="1:14" s="351" customFormat="1" x14ac:dyDescent="0.3">
      <c r="A42" s="72" t="s">
        <v>70</v>
      </c>
      <c r="B42" s="386">
        <f>IF($F42="N",0,Base!B38-Option8!J42)</f>
        <v>15.220000000000027</v>
      </c>
      <c r="C42" s="386">
        <f>IF($F42="N",0,Base!C38-Option8!K42)</f>
        <v>175.17000000000189</v>
      </c>
      <c r="D42" s="386">
        <f>IF($F42="N",0,Base!D38-Option8!L42)</f>
        <v>139.40256000000045</v>
      </c>
      <c r="E42" s="368">
        <f t="shared" si="8"/>
        <v>125.4623040000004</v>
      </c>
      <c r="F42" s="343" t="str">
        <f t="shared" si="9"/>
        <v>Y</v>
      </c>
      <c r="G42" s="52">
        <f t="shared" si="11"/>
        <v>8510.5262880000282</v>
      </c>
      <c r="I42" s="72" t="s">
        <v>70</v>
      </c>
      <c r="J42" s="365">
        <v>1201.1299999999999</v>
      </c>
      <c r="K42" s="365">
        <v>12934.059999999998</v>
      </c>
      <c r="L42" s="365">
        <v>9331.0489600000001</v>
      </c>
      <c r="M42" s="365">
        <f t="shared" si="10"/>
        <v>578058.48307199997</v>
      </c>
    </row>
    <row r="43" spans="1:14" s="351" customFormat="1" x14ac:dyDescent="0.3">
      <c r="A43" s="72" t="s">
        <v>71</v>
      </c>
      <c r="B43" s="386">
        <f>IF($F43="N",0,Base!B39-Option8!J43)</f>
        <v>15.740000000000009</v>
      </c>
      <c r="C43" s="386">
        <f>IF($F43="N",0,Base!C39-Option8!K43)</f>
        <v>214.52999999999884</v>
      </c>
      <c r="D43" s="386">
        <f>IF($F43="N",0,Base!D39-Option8!L43)</f>
        <v>144.90215999999782</v>
      </c>
      <c r="E43" s="368">
        <f t="shared" si="8"/>
        <v>130.41194399999804</v>
      </c>
      <c r="F43" s="343" t="str">
        <f t="shared" si="9"/>
        <v>Y</v>
      </c>
      <c r="G43" s="52">
        <f t="shared" si="11"/>
        <v>8846.276867999868</v>
      </c>
      <c r="I43" s="72" t="s">
        <v>71</v>
      </c>
      <c r="J43" s="365">
        <v>1256.47</v>
      </c>
      <c r="K43" s="365">
        <v>14257.88</v>
      </c>
      <c r="L43" s="365">
        <v>9859.9186399999999</v>
      </c>
      <c r="M43" s="365">
        <f t="shared" si="10"/>
        <v>610821.95974800002</v>
      </c>
    </row>
    <row r="44" spans="1:14" s="351" customFormat="1" x14ac:dyDescent="0.3">
      <c r="A44" s="72" t="s">
        <v>72</v>
      </c>
      <c r="B44" s="386">
        <f>IF($F44="N",0,Base!B40-Option8!J44)</f>
        <v>22.430000000000064</v>
      </c>
      <c r="C44" s="386">
        <f>IF($F44="N",0,Base!C40-Option8!K44)</f>
        <v>135.3899999999976</v>
      </c>
      <c r="D44" s="386">
        <f>IF($F44="N",0,Base!D40-Option8!L44)</f>
        <v>111.80951999999888</v>
      </c>
      <c r="E44" s="368">
        <f t="shared" si="8"/>
        <v>100.62856799999899</v>
      </c>
      <c r="F44" s="343" t="str">
        <f t="shared" si="9"/>
        <v>Y</v>
      </c>
      <c r="G44" s="52">
        <f t="shared" si="11"/>
        <v>6825.9711959999322</v>
      </c>
      <c r="I44" s="72" t="s">
        <v>72</v>
      </c>
      <c r="J44" s="365">
        <v>1286.5</v>
      </c>
      <c r="K44" s="365">
        <v>15465.880000000001</v>
      </c>
      <c r="L44" s="365">
        <v>10153.569520000001</v>
      </c>
      <c r="M44" s="365">
        <f t="shared" si="10"/>
        <v>629013.63176400005</v>
      </c>
    </row>
    <row r="45" spans="1:14" s="351" customFormat="1" x14ac:dyDescent="0.3">
      <c r="A45" s="72" t="s">
        <v>73</v>
      </c>
      <c r="B45" s="386">
        <f>IF($F45="N",0,Base!B41-Option8!J45)</f>
        <v>21.2199999999998</v>
      </c>
      <c r="C45" s="386">
        <f>IF($F45="N",0,Base!C41-Option8!K45)</f>
        <v>133.59000000000015</v>
      </c>
      <c r="D45" s="386">
        <f>IF($F45="N",0,Base!D41-Option8!L45)</f>
        <v>122.95511999999871</v>
      </c>
      <c r="E45" s="368">
        <f t="shared" si="8"/>
        <v>110.65960799999884</v>
      </c>
      <c r="F45" s="343" t="str">
        <f t="shared" si="9"/>
        <v>Y</v>
      </c>
      <c r="G45" s="52">
        <f t="shared" si="11"/>
        <v>7506.4100759999219</v>
      </c>
      <c r="I45" s="72" t="s">
        <v>73</v>
      </c>
      <c r="J45" s="365">
        <v>1412.06</v>
      </c>
      <c r="K45" s="365">
        <v>17929.93</v>
      </c>
      <c r="L45" s="365">
        <v>11173.955440000002</v>
      </c>
      <c r="M45" s="365">
        <f t="shared" si="10"/>
        <v>692226.53950800013</v>
      </c>
    </row>
    <row r="46" spans="1:14" s="351" customFormat="1" ht="15" thickBot="1" x14ac:dyDescent="0.35">
      <c r="F46" s="60">
        <f>SUM(COUNTIF(F36:F45,{"Y","Y1","Y2"}))</f>
        <v>9</v>
      </c>
      <c r="G46" s="62">
        <f>-PV($G$6,$G$7-F46,G45)</f>
        <v>71153.359833264083</v>
      </c>
      <c r="H46" s="55" t="s">
        <v>11</v>
      </c>
    </row>
    <row r="47" spans="1:14" s="351" customFormat="1" ht="15" thickTop="1" x14ac:dyDescent="0.3"/>
    <row r="48" spans="1:14" s="351" customFormat="1" ht="15.6" x14ac:dyDescent="0.3">
      <c r="A48" s="406" t="s">
        <v>56</v>
      </c>
      <c r="B48" s="406"/>
      <c r="C48" s="406"/>
      <c r="D48" s="406"/>
      <c r="E48" s="406"/>
      <c r="F48" s="406"/>
      <c r="G48" s="406"/>
      <c r="I48" s="409" t="s">
        <v>60</v>
      </c>
      <c r="J48" s="410"/>
      <c r="K48" s="410"/>
      <c r="L48" s="410"/>
      <c r="M48" s="411"/>
    </row>
    <row r="49" spans="1:13" s="351" customFormat="1" ht="57.6" x14ac:dyDescent="0.3">
      <c r="A49" s="342" t="s">
        <v>5</v>
      </c>
      <c r="B49" s="51" t="s">
        <v>151</v>
      </c>
      <c r="C49" s="51" t="s">
        <v>152</v>
      </c>
      <c r="D49" s="51" t="s">
        <v>153</v>
      </c>
      <c r="E49" s="374" t="s">
        <v>145</v>
      </c>
      <c r="F49" s="51" t="s">
        <v>12</v>
      </c>
      <c r="G49" s="51" t="s">
        <v>134</v>
      </c>
      <c r="I49" s="342" t="s">
        <v>5</v>
      </c>
      <c r="J49" s="51" t="s">
        <v>75</v>
      </c>
      <c r="K49" s="51" t="s">
        <v>51</v>
      </c>
      <c r="L49" s="50" t="s">
        <v>0</v>
      </c>
      <c r="M49" s="51" t="s">
        <v>58</v>
      </c>
    </row>
    <row r="50" spans="1:13" s="351" customFormat="1" x14ac:dyDescent="0.3">
      <c r="A50" s="72" t="s">
        <v>64</v>
      </c>
      <c r="B50" s="386">
        <f>IF($F50="N",0,Base!B46-Option8!J50)</f>
        <v>0</v>
      </c>
      <c r="C50" s="386">
        <f>IF($F50="N",0,Base!C46-Option8!K50)</f>
        <v>0</v>
      </c>
      <c r="D50" s="386">
        <f>IF($F50="N",0,Base!D46-Option8!L50)</f>
        <v>0</v>
      </c>
      <c r="E50" s="368">
        <f t="shared" ref="E50:E59" si="12">D50*$B$9</f>
        <v>0</v>
      </c>
      <c r="F50" s="343" t="str">
        <f>F36</f>
        <v>N</v>
      </c>
      <c r="G50" s="52">
        <f>IF(OR(F50="Y",F50="Y1",F50="Y2"),D50*$G$5-E50,0)</f>
        <v>0</v>
      </c>
      <c r="I50" s="72" t="s">
        <v>64</v>
      </c>
      <c r="J50" s="365">
        <v>784.46</v>
      </c>
      <c r="K50" s="365">
        <v>10062.910000000002</v>
      </c>
      <c r="L50" s="365">
        <v>7975.6825599999993</v>
      </c>
      <c r="M50" s="365">
        <f t="shared" ref="M50:M59" si="13">L50*$G$5</f>
        <v>494093.53459199995</v>
      </c>
    </row>
    <row r="51" spans="1:13" s="351" customFormat="1" x14ac:dyDescent="0.3">
      <c r="A51" s="72" t="s">
        <v>65</v>
      </c>
      <c r="B51" s="386">
        <f>IF($F51="N",0,Base!B47-Option8!J51)</f>
        <v>21.009999999999991</v>
      </c>
      <c r="C51" s="386">
        <f>IF($F51="N",0,Base!C47-Option8!K51)</f>
        <v>167.3799999999992</v>
      </c>
      <c r="D51" s="386">
        <f>IF($F51="N",0,Base!D47-Option8!L51)</f>
        <v>100.51527999999962</v>
      </c>
      <c r="E51" s="368">
        <f t="shared" si="12"/>
        <v>90.463751999999658</v>
      </c>
      <c r="F51" s="343" t="str">
        <f t="shared" ref="F51:F59" si="14">F37</f>
        <v>Y</v>
      </c>
      <c r="G51" s="52">
        <f t="shared" ref="G51:G59" si="15">IF(OR(F51="Y",F51="Y1",F51="Y2"),D51*$G$5-E51,0)</f>
        <v>6136.4578439999768</v>
      </c>
      <c r="I51" s="72" t="s">
        <v>65</v>
      </c>
      <c r="J51" s="365">
        <v>830.13000000000011</v>
      </c>
      <c r="K51" s="365">
        <v>10153.280000000001</v>
      </c>
      <c r="L51" s="365">
        <v>7948.8252799999991</v>
      </c>
      <c r="M51" s="365">
        <f t="shared" si="13"/>
        <v>492429.72609599994</v>
      </c>
    </row>
    <row r="52" spans="1:13" s="351" customFormat="1" x14ac:dyDescent="0.3">
      <c r="A52" s="72" t="s">
        <v>66</v>
      </c>
      <c r="B52" s="386">
        <f>IF($F52="N",0,Base!B48-Option8!J52)</f>
        <v>22.660000000000082</v>
      </c>
      <c r="C52" s="386">
        <f>IF($F52="N",0,Base!C48-Option8!K52)</f>
        <v>184.70000000000073</v>
      </c>
      <c r="D52" s="386">
        <f>IF($F52="N",0,Base!D48-Option8!L52)</f>
        <v>124.53775999999925</v>
      </c>
      <c r="E52" s="368">
        <f t="shared" si="12"/>
        <v>112.08398399999933</v>
      </c>
      <c r="F52" s="343" t="str">
        <f t="shared" si="14"/>
        <v>Y</v>
      </c>
      <c r="G52" s="52">
        <f t="shared" si="15"/>
        <v>7603.0302479999555</v>
      </c>
      <c r="I52" s="72" t="s">
        <v>66</v>
      </c>
      <c r="J52" s="365">
        <v>916.68000000000006</v>
      </c>
      <c r="K52" s="365">
        <v>10682.240000000002</v>
      </c>
      <c r="L52" s="365">
        <v>8264.3708000000006</v>
      </c>
      <c r="M52" s="365">
        <f t="shared" si="13"/>
        <v>511977.77106000006</v>
      </c>
    </row>
    <row r="53" spans="1:13" s="351" customFormat="1" x14ac:dyDescent="0.3">
      <c r="A53" s="72" t="s">
        <v>67</v>
      </c>
      <c r="B53" s="386">
        <f>IF($F53="N",0,Base!B49-Option8!J53)</f>
        <v>21.909999999999854</v>
      </c>
      <c r="C53" s="386">
        <f>IF($F53="N",0,Base!C49-Option8!K53)</f>
        <v>311.21000000000095</v>
      </c>
      <c r="D53" s="386">
        <f>IF($F53="N",0,Base!D49-Option8!L53)</f>
        <v>199.43936000000031</v>
      </c>
      <c r="E53" s="368">
        <f t="shared" si="12"/>
        <v>179.49542400000027</v>
      </c>
      <c r="F53" s="343" t="str">
        <f t="shared" si="14"/>
        <v>Y</v>
      </c>
      <c r="G53" s="52">
        <f t="shared" si="15"/>
        <v>12175.772928000019</v>
      </c>
      <c r="I53" s="72" t="s">
        <v>67</v>
      </c>
      <c r="J53" s="365">
        <v>1034.3400000000001</v>
      </c>
      <c r="K53" s="365">
        <v>11384.87</v>
      </c>
      <c r="L53" s="365">
        <v>8686.3248800000001</v>
      </c>
      <c r="M53" s="365">
        <f t="shared" si="13"/>
        <v>538117.82631600008</v>
      </c>
    </row>
    <row r="54" spans="1:13" s="351" customFormat="1" x14ac:dyDescent="0.3">
      <c r="A54" s="72" t="s">
        <v>68</v>
      </c>
      <c r="B54" s="386">
        <f>IF($F54="N",0,Base!B50-Option8!J54)</f>
        <v>22.069999999999936</v>
      </c>
      <c r="C54" s="386">
        <f>IF($F54="N",0,Base!C50-Option8!K54)</f>
        <v>400.14999999999782</v>
      </c>
      <c r="D54" s="386">
        <f>IF($F54="N",0,Base!D50-Option8!L54)</f>
        <v>217.46392000000014</v>
      </c>
      <c r="E54" s="368">
        <f t="shared" si="12"/>
        <v>195.71752800000013</v>
      </c>
      <c r="F54" s="343" t="str">
        <f t="shared" si="14"/>
        <v>Y</v>
      </c>
      <c r="G54" s="52">
        <f t="shared" si="15"/>
        <v>13276.172316000011</v>
      </c>
      <c r="I54" s="72" t="s">
        <v>68</v>
      </c>
      <c r="J54" s="365">
        <v>1133.5300000000002</v>
      </c>
      <c r="K54" s="365">
        <v>12092.35</v>
      </c>
      <c r="L54" s="365">
        <v>9093.118959999998</v>
      </c>
      <c r="M54" s="365">
        <f t="shared" si="13"/>
        <v>563318.71957199986</v>
      </c>
    </row>
    <row r="55" spans="1:13" s="351" customFormat="1" x14ac:dyDescent="0.3">
      <c r="A55" s="72" t="s">
        <v>69</v>
      </c>
      <c r="B55" s="386">
        <f>IF($F55="N",0,Base!B51-Option8!J55)</f>
        <v>22.579999999999927</v>
      </c>
      <c r="C55" s="386">
        <f>IF($F55="N",0,Base!C51-Option8!K55)</f>
        <v>429.57999999999811</v>
      </c>
      <c r="D55" s="386">
        <f>IF($F55="N",0,Base!D51-Option8!L55)</f>
        <v>240.25408000000061</v>
      </c>
      <c r="E55" s="368">
        <f t="shared" si="12"/>
        <v>216.22867200000056</v>
      </c>
      <c r="F55" s="343" t="str">
        <f t="shared" si="14"/>
        <v>Y</v>
      </c>
      <c r="G55" s="52">
        <f t="shared" si="15"/>
        <v>14667.511584000038</v>
      </c>
      <c r="I55" s="72" t="s">
        <v>69</v>
      </c>
      <c r="J55" s="365">
        <v>1360.8300000000002</v>
      </c>
      <c r="K55" s="365">
        <v>12878.810000000001</v>
      </c>
      <c r="L55" s="365">
        <v>9567.7152799999985</v>
      </c>
      <c r="M55" s="365">
        <f t="shared" si="13"/>
        <v>592719.96159599989</v>
      </c>
    </row>
    <row r="56" spans="1:13" s="351" customFormat="1" x14ac:dyDescent="0.3">
      <c r="A56" s="72" t="s">
        <v>70</v>
      </c>
      <c r="B56" s="386">
        <f>IF($F56="N",0,Base!B52-Option8!J56)</f>
        <v>28.710000000000036</v>
      </c>
      <c r="C56" s="386">
        <f>IF($F56="N",0,Base!C52-Option8!K56)</f>
        <v>408.69999999999891</v>
      </c>
      <c r="D56" s="386">
        <f>IF($F56="N",0,Base!D52-Option8!L56)</f>
        <v>251.82160000000113</v>
      </c>
      <c r="E56" s="368">
        <f t="shared" si="12"/>
        <v>226.63944000000103</v>
      </c>
      <c r="F56" s="343" t="str">
        <f t="shared" si="14"/>
        <v>Y</v>
      </c>
      <c r="G56" s="52">
        <f t="shared" si="15"/>
        <v>15373.708680000069</v>
      </c>
      <c r="I56" s="72" t="s">
        <v>70</v>
      </c>
      <c r="J56" s="365">
        <v>1375.05</v>
      </c>
      <c r="K56" s="365">
        <v>14269.269999999997</v>
      </c>
      <c r="L56" s="365">
        <v>10142.755599999997</v>
      </c>
      <c r="M56" s="365">
        <f t="shared" si="13"/>
        <v>628343.70941999985</v>
      </c>
    </row>
    <row r="57" spans="1:13" s="351" customFormat="1" x14ac:dyDescent="0.3">
      <c r="A57" s="72" t="s">
        <v>71</v>
      </c>
      <c r="B57" s="386">
        <f>IF($F57="N",0,Base!B53-Option8!J57)</f>
        <v>28.320000000000164</v>
      </c>
      <c r="C57" s="386">
        <f>IF($F57="N",0,Base!C53-Option8!K57)</f>
        <v>661.84999999999854</v>
      </c>
      <c r="D57" s="386">
        <f>IF($F57="N",0,Base!D53-Option8!L57)</f>
        <v>344.71759999999995</v>
      </c>
      <c r="E57" s="368">
        <f t="shared" si="12"/>
        <v>310.24583999999999</v>
      </c>
      <c r="F57" s="343" t="str">
        <f t="shared" si="14"/>
        <v>Y</v>
      </c>
      <c r="G57" s="52">
        <f t="shared" si="15"/>
        <v>21045.009479999997</v>
      </c>
      <c r="I57" s="72" t="s">
        <v>71</v>
      </c>
      <c r="J57" s="365">
        <v>1413.1899999999998</v>
      </c>
      <c r="K57" s="365">
        <v>15855.529999999999</v>
      </c>
      <c r="L57" s="365">
        <v>10771.340479999999</v>
      </c>
      <c r="M57" s="365">
        <f t="shared" si="13"/>
        <v>667284.54273599992</v>
      </c>
    </row>
    <row r="58" spans="1:13" s="351" customFormat="1" x14ac:dyDescent="0.3">
      <c r="A58" s="72" t="s">
        <v>72</v>
      </c>
      <c r="B58" s="386">
        <f>IF($F58="N",0,Base!B54-Option8!J58)</f>
        <v>27.489999999999782</v>
      </c>
      <c r="C58" s="386">
        <f>IF($F58="N",0,Base!C54-Option8!K58)</f>
        <v>843.58000000000175</v>
      </c>
      <c r="D58" s="386">
        <f>IF($F58="N",0,Base!D54-Option8!L58)</f>
        <v>429.40431999999964</v>
      </c>
      <c r="E58" s="368">
        <f t="shared" si="12"/>
        <v>386.46388799999971</v>
      </c>
      <c r="F58" s="343" t="str">
        <f t="shared" si="14"/>
        <v>Y</v>
      </c>
      <c r="G58" s="52">
        <f t="shared" si="15"/>
        <v>26215.133735999982</v>
      </c>
      <c r="I58" s="72" t="s">
        <v>72</v>
      </c>
      <c r="J58" s="365">
        <v>1638.4100000000003</v>
      </c>
      <c r="K58" s="365">
        <v>18321.650000000001</v>
      </c>
      <c r="L58" s="365">
        <v>11884.7984</v>
      </c>
      <c r="M58" s="365">
        <f t="shared" si="13"/>
        <v>736263.26087999996</v>
      </c>
    </row>
    <row r="59" spans="1:13" s="351" customFormat="1" x14ac:dyDescent="0.3">
      <c r="A59" s="72" t="s">
        <v>73</v>
      </c>
      <c r="B59" s="386">
        <f>IF($F59="N",0,Base!B55-Option8!J59)</f>
        <v>28.2800000000002</v>
      </c>
      <c r="C59" s="386">
        <f>IF($F59="N",0,Base!C55-Option8!K59)</f>
        <v>1180.8400000000038</v>
      </c>
      <c r="D59" s="386">
        <f>IF($F59="N",0,Base!D55-Option8!L59)</f>
        <v>560.51608000000124</v>
      </c>
      <c r="E59" s="368">
        <f t="shared" si="12"/>
        <v>504.46447200000114</v>
      </c>
      <c r="F59" s="343" t="str">
        <f t="shared" si="14"/>
        <v>Y</v>
      </c>
      <c r="G59" s="52">
        <f t="shared" si="15"/>
        <v>34219.50668400008</v>
      </c>
      <c r="I59" s="72" t="s">
        <v>73</v>
      </c>
      <c r="J59" s="365">
        <v>1921.5499999999997</v>
      </c>
      <c r="K59" s="365">
        <v>21976.199999999997</v>
      </c>
      <c r="L59" s="365">
        <v>13431.811679999999</v>
      </c>
      <c r="M59" s="365">
        <f t="shared" si="13"/>
        <v>832100.73357599997</v>
      </c>
    </row>
    <row r="60" spans="1:13" s="351" customFormat="1" ht="15" thickBot="1" x14ac:dyDescent="0.35">
      <c r="F60" s="60">
        <f>SUM(COUNTIF(F50:F59,{"Y","Y1","Y2"}))</f>
        <v>9</v>
      </c>
      <c r="G60" s="62">
        <f>-PV($G$6,$G$7-F60,G59)</f>
        <v>324367.15390600363</v>
      </c>
      <c r="H60" s="55" t="s">
        <v>11</v>
      </c>
    </row>
    <row r="61" spans="1:13" s="351" customFormat="1" ht="15" thickTop="1" x14ac:dyDescent="0.3"/>
    <row r="62" spans="1:13" s="351" customFormat="1" ht="15.6" x14ac:dyDescent="0.3">
      <c r="A62" s="406" t="s">
        <v>55</v>
      </c>
      <c r="B62" s="406"/>
      <c r="C62" s="406"/>
      <c r="D62" s="406"/>
      <c r="E62" s="406"/>
      <c r="F62" s="406"/>
      <c r="G62" s="406"/>
      <c r="I62" s="409" t="s">
        <v>61</v>
      </c>
      <c r="J62" s="410"/>
      <c r="K62" s="410"/>
      <c r="L62" s="410"/>
      <c r="M62" s="411"/>
    </row>
    <row r="63" spans="1:13" s="351" customFormat="1" ht="57.6" x14ac:dyDescent="0.3">
      <c r="A63" s="342" t="s">
        <v>5</v>
      </c>
      <c r="B63" s="51" t="s">
        <v>151</v>
      </c>
      <c r="C63" s="51" t="s">
        <v>152</v>
      </c>
      <c r="D63" s="51" t="s">
        <v>153</v>
      </c>
      <c r="E63" s="374" t="s">
        <v>145</v>
      </c>
      <c r="F63" s="51" t="s">
        <v>12</v>
      </c>
      <c r="G63" s="51" t="s">
        <v>134</v>
      </c>
      <c r="I63" s="342" t="s">
        <v>5</v>
      </c>
      <c r="J63" s="51" t="s">
        <v>75</v>
      </c>
      <c r="K63" s="51" t="s">
        <v>51</v>
      </c>
      <c r="L63" s="50" t="s">
        <v>0</v>
      </c>
      <c r="M63" s="51" t="s">
        <v>58</v>
      </c>
    </row>
    <row r="64" spans="1:13" s="351" customFormat="1" x14ac:dyDescent="0.3">
      <c r="A64" s="72" t="s">
        <v>64</v>
      </c>
      <c r="B64" s="386">
        <f>IF($F64="N",0,Base!B60-Option8!J64)</f>
        <v>0</v>
      </c>
      <c r="C64" s="386">
        <f>IF($F64="N",0,Base!C60-Option8!K64)</f>
        <v>0</v>
      </c>
      <c r="D64" s="386">
        <f>IF($F64="N",0,Base!D60-Option8!L64)</f>
        <v>0</v>
      </c>
      <c r="E64" s="368">
        <f t="shared" ref="E64:E73" si="16">D64*$B$9</f>
        <v>0</v>
      </c>
      <c r="F64" s="343" t="str">
        <f>F36</f>
        <v>N</v>
      </c>
      <c r="G64" s="52">
        <f>IF(OR(F64="Y",F64="Y1",F64="Y2"),D64*$G$5-E64,0)</f>
        <v>0</v>
      </c>
      <c r="I64" s="72" t="s">
        <v>64</v>
      </c>
      <c r="J64" s="365">
        <v>746.6099999999999</v>
      </c>
      <c r="K64" s="365">
        <v>9777.73</v>
      </c>
      <c r="L64" s="365">
        <v>7802.7255999999998</v>
      </c>
      <c r="M64" s="365">
        <f t="shared" ref="M64:M73" si="17">L64*$G$5</f>
        <v>483378.85092</v>
      </c>
    </row>
    <row r="65" spans="1:15" s="351" customFormat="1" x14ac:dyDescent="0.3">
      <c r="A65" s="72" t="s">
        <v>65</v>
      </c>
      <c r="B65" s="386">
        <f>IF($F65="N",0,Base!B61-Option8!J65)</f>
        <v>20.189999999999941</v>
      </c>
      <c r="C65" s="386">
        <f>IF($F65="N",0,Base!C61-Option8!K65)</f>
        <v>135.14000000000124</v>
      </c>
      <c r="D65" s="386">
        <f>IF($F65="N",0,Base!D61-Option8!L65)</f>
        <v>89.948720000001231</v>
      </c>
      <c r="E65" s="368">
        <f t="shared" si="16"/>
        <v>80.953848000001116</v>
      </c>
      <c r="F65" s="343" t="str">
        <f t="shared" ref="F65:F73" si="18">F37</f>
        <v>Y</v>
      </c>
      <c r="G65" s="52">
        <f t="shared" ref="G65:G73" si="19">IF(OR(F65="Y",F65="Y1",F65="Y2"),D65*$G$5-E65,0)</f>
        <v>5491.3693560000756</v>
      </c>
      <c r="I65" s="72" t="s">
        <v>65</v>
      </c>
      <c r="J65" s="365">
        <v>779.35</v>
      </c>
      <c r="K65" s="365">
        <v>9678.2699999999986</v>
      </c>
      <c r="L65" s="365">
        <v>7740.4876799999984</v>
      </c>
      <c r="M65" s="365">
        <f t="shared" si="17"/>
        <v>479523.21177599992</v>
      </c>
    </row>
    <row r="66" spans="1:15" s="351" customFormat="1" x14ac:dyDescent="0.3">
      <c r="A66" s="72" t="s">
        <v>66</v>
      </c>
      <c r="B66" s="386">
        <f>IF($F66="N",0,Base!B62-Option8!J66)</f>
        <v>19.269999999999982</v>
      </c>
      <c r="C66" s="386">
        <f>IF($F66="N",0,Base!C62-Option8!K66)</f>
        <v>137.05999999999949</v>
      </c>
      <c r="D66" s="386">
        <f>IF($F66="N",0,Base!D62-Option8!L66)</f>
        <v>103.53368000000046</v>
      </c>
      <c r="E66" s="368">
        <f t="shared" si="16"/>
        <v>93.180312000000413</v>
      </c>
      <c r="F66" s="343" t="str">
        <f t="shared" si="18"/>
        <v>Y</v>
      </c>
      <c r="G66" s="52">
        <f t="shared" si="19"/>
        <v>6320.731164000028</v>
      </c>
      <c r="I66" s="72" t="s">
        <v>66</v>
      </c>
      <c r="J66" s="365">
        <v>806.1400000000001</v>
      </c>
      <c r="K66" s="365">
        <v>9710.5500000000011</v>
      </c>
      <c r="L66" s="365">
        <v>7783.6879200000003</v>
      </c>
      <c r="M66" s="365">
        <f t="shared" si="17"/>
        <v>482199.46664400003</v>
      </c>
    </row>
    <row r="67" spans="1:15" s="351" customFormat="1" x14ac:dyDescent="0.3">
      <c r="A67" s="72" t="s">
        <v>67</v>
      </c>
      <c r="B67" s="386">
        <f>IF($F67="N",0,Base!B63-Option8!J67)</f>
        <v>21.250000000000114</v>
      </c>
      <c r="C67" s="386">
        <f>IF($F67="N",0,Base!C63-Option8!K67)</f>
        <v>148.48000000000138</v>
      </c>
      <c r="D67" s="386">
        <f>IF($F67="N",0,Base!D63-Option8!L67)</f>
        <v>98.987439999999879</v>
      </c>
      <c r="E67" s="368">
        <f t="shared" si="16"/>
        <v>89.088695999999899</v>
      </c>
      <c r="F67" s="343" t="str">
        <f t="shared" si="18"/>
        <v>Y</v>
      </c>
      <c r="G67" s="52">
        <f t="shared" si="19"/>
        <v>6043.1832119999926</v>
      </c>
      <c r="I67" s="72" t="s">
        <v>67</v>
      </c>
      <c r="J67" s="365">
        <v>831.63999999999987</v>
      </c>
      <c r="K67" s="365">
        <v>9803.7400000000016</v>
      </c>
      <c r="L67" s="365">
        <v>7849.3650400000006</v>
      </c>
      <c r="M67" s="365">
        <f t="shared" si="17"/>
        <v>486268.16422800004</v>
      </c>
    </row>
    <row r="68" spans="1:15" s="351" customFormat="1" x14ac:dyDescent="0.3">
      <c r="A68" s="72" t="s">
        <v>68</v>
      </c>
      <c r="B68" s="386">
        <f>IF($F68="N",0,Base!B64-Option8!J68)</f>
        <v>22.480000000000132</v>
      </c>
      <c r="C68" s="386">
        <f>IF($F68="N",0,Base!C64-Option8!K68)</f>
        <v>108.41000000000167</v>
      </c>
      <c r="D68" s="386">
        <f>IF($F68="N",0,Base!D64-Option8!L68)</f>
        <v>88.727119999999559</v>
      </c>
      <c r="E68" s="368">
        <f t="shared" si="16"/>
        <v>79.854407999999609</v>
      </c>
      <c r="F68" s="343" t="str">
        <f t="shared" si="18"/>
        <v>Y</v>
      </c>
      <c r="G68" s="52">
        <f t="shared" si="19"/>
        <v>5416.7906759999732</v>
      </c>
      <c r="I68" s="72" t="s">
        <v>68</v>
      </c>
      <c r="J68" s="365">
        <v>943.22</v>
      </c>
      <c r="K68" s="365">
        <v>10139.23</v>
      </c>
      <c r="L68" s="365">
        <v>7998.765519999999</v>
      </c>
      <c r="M68" s="365">
        <f t="shared" si="17"/>
        <v>495523.52396399993</v>
      </c>
    </row>
    <row r="69" spans="1:15" s="351" customFormat="1" x14ac:dyDescent="0.3">
      <c r="A69" s="72" t="s">
        <v>69</v>
      </c>
      <c r="B69" s="386">
        <f>IF($F69="N",0,Base!B65-Option8!J69)</f>
        <v>23.849999999999909</v>
      </c>
      <c r="C69" s="386">
        <f>IF($F69="N",0,Base!C65-Option8!K69)</f>
        <v>123.25</v>
      </c>
      <c r="D69" s="386">
        <f>IF($F69="N",0,Base!D65-Option8!L69)</f>
        <v>104.19351999999799</v>
      </c>
      <c r="E69" s="368">
        <f t="shared" si="16"/>
        <v>93.774167999998198</v>
      </c>
      <c r="F69" s="343" t="str">
        <f t="shared" si="18"/>
        <v>Y</v>
      </c>
      <c r="G69" s="52">
        <f t="shared" si="19"/>
        <v>6361.0143959998777</v>
      </c>
      <c r="I69" s="72" t="s">
        <v>69</v>
      </c>
      <c r="J69" s="365">
        <v>982.53</v>
      </c>
      <c r="K69" s="365">
        <v>10399.69</v>
      </c>
      <c r="L69" s="365">
        <v>8190.9340000000002</v>
      </c>
      <c r="M69" s="365">
        <f t="shared" si="17"/>
        <v>507428.36130000005</v>
      </c>
    </row>
    <row r="70" spans="1:15" s="351" customFormat="1" x14ac:dyDescent="0.3">
      <c r="A70" s="72" t="s">
        <v>70</v>
      </c>
      <c r="B70" s="386">
        <f>IF($F70="N",0,Base!B66-Option8!J70)</f>
        <v>22.570000000000164</v>
      </c>
      <c r="C70" s="386">
        <f>IF($F70="N",0,Base!C66-Option8!K70)</f>
        <v>136.8700000000008</v>
      </c>
      <c r="D70" s="386">
        <f>IF($F70="N",0,Base!D66-Option8!L70)</f>
        <v>125.90799999999945</v>
      </c>
      <c r="E70" s="368">
        <f t="shared" si="16"/>
        <v>113.3171999999995</v>
      </c>
      <c r="F70" s="343" t="str">
        <f t="shared" si="18"/>
        <v>Y</v>
      </c>
      <c r="G70" s="52">
        <f t="shared" si="19"/>
        <v>7686.6833999999662</v>
      </c>
      <c r="I70" s="72" t="s">
        <v>70</v>
      </c>
      <c r="J70" s="365">
        <v>1044.99</v>
      </c>
      <c r="K70" s="365">
        <v>10907.869999999999</v>
      </c>
      <c r="L70" s="365">
        <v>8405.0261599999994</v>
      </c>
      <c r="M70" s="365">
        <f t="shared" si="17"/>
        <v>520691.370612</v>
      </c>
    </row>
    <row r="71" spans="1:15" s="351" customFormat="1" x14ac:dyDescent="0.3">
      <c r="A71" s="72" t="s">
        <v>71</v>
      </c>
      <c r="B71" s="386">
        <f>IF($F71="N",0,Base!B67-Option8!J71)</f>
        <v>22.649999999999864</v>
      </c>
      <c r="C71" s="386">
        <f>IF($F71="N",0,Base!C67-Option8!K71)</f>
        <v>161.17000000000007</v>
      </c>
      <c r="D71" s="386">
        <f>IF($F71="N",0,Base!D67-Option8!L71)</f>
        <v>130.05184000000008</v>
      </c>
      <c r="E71" s="368">
        <f t="shared" si="16"/>
        <v>117.04665600000008</v>
      </c>
      <c r="F71" s="343" t="str">
        <f t="shared" si="18"/>
        <v>Y</v>
      </c>
      <c r="G71" s="52">
        <f t="shared" si="19"/>
        <v>7939.6648320000049</v>
      </c>
      <c r="I71" s="72" t="s">
        <v>71</v>
      </c>
      <c r="J71" s="365">
        <v>1076.47</v>
      </c>
      <c r="K71" s="365">
        <v>11373.44</v>
      </c>
      <c r="L71" s="365">
        <v>8634.0953599999993</v>
      </c>
      <c r="M71" s="365">
        <f t="shared" si="17"/>
        <v>534882.20755199995</v>
      </c>
    </row>
    <row r="72" spans="1:15" s="351" customFormat="1" x14ac:dyDescent="0.3">
      <c r="A72" s="72" t="s">
        <v>72</v>
      </c>
      <c r="B72" s="386">
        <f>IF($F72="N",0,Base!B68-Option8!J72)</f>
        <v>22.980000000000132</v>
      </c>
      <c r="C72" s="386">
        <f>IF($F72="N",0,Base!C68-Option8!K72)</f>
        <v>107.03999999999905</v>
      </c>
      <c r="D72" s="386">
        <f>IF($F72="N",0,Base!D68-Option8!L72)</f>
        <v>118.46831999999995</v>
      </c>
      <c r="E72" s="368">
        <f t="shared" si="16"/>
        <v>106.62148799999996</v>
      </c>
      <c r="F72" s="343" t="str">
        <f t="shared" si="18"/>
        <v>Y</v>
      </c>
      <c r="G72" s="52">
        <f t="shared" si="19"/>
        <v>7232.4909359999974</v>
      </c>
      <c r="I72" s="72" t="s">
        <v>72</v>
      </c>
      <c r="J72" s="365">
        <v>1020.1</v>
      </c>
      <c r="K72" s="365">
        <v>11383.8</v>
      </c>
      <c r="L72" s="365">
        <v>8448.4826399999984</v>
      </c>
      <c r="M72" s="365">
        <f t="shared" si="17"/>
        <v>523383.49954799993</v>
      </c>
    </row>
    <row r="73" spans="1:15" s="351" customFormat="1" x14ac:dyDescent="0.3">
      <c r="A73" s="72" t="s">
        <v>73</v>
      </c>
      <c r="B73" s="386">
        <f>IF($F73="N",0,Base!B69-Option8!J73)</f>
        <v>23.039999999999964</v>
      </c>
      <c r="C73" s="386">
        <f>IF($F73="N",0,Base!C69-Option8!K73)</f>
        <v>124.34999999999673</v>
      </c>
      <c r="D73" s="386">
        <f>IF($F73="N",0,Base!D69-Option8!L73)</f>
        <v>116.84015999999974</v>
      </c>
      <c r="E73" s="368">
        <f t="shared" si="16"/>
        <v>105.15614399999977</v>
      </c>
      <c r="F73" s="343" t="str">
        <f t="shared" si="18"/>
        <v>Y</v>
      </c>
      <c r="G73" s="52">
        <f t="shared" si="19"/>
        <v>7133.0917679999848</v>
      </c>
      <c r="I73" s="72" t="s">
        <v>73</v>
      </c>
      <c r="J73" s="365">
        <v>1061.0800000000002</v>
      </c>
      <c r="K73" s="365">
        <v>12378.180000000002</v>
      </c>
      <c r="L73" s="365">
        <v>8821.3485600000004</v>
      </c>
      <c r="M73" s="365">
        <f t="shared" si="17"/>
        <v>546482.54329200007</v>
      </c>
    </row>
    <row r="74" spans="1:15" s="351" customFormat="1" ht="15" thickBot="1" x14ac:dyDescent="0.35">
      <c r="F74" s="60">
        <f>SUM(COUNTIF(F64:F73,{"Y","Y1","Y2"}))</f>
        <v>9</v>
      </c>
      <c r="G74" s="62">
        <f>-PV($G$6,$G$7-F74,G73)</f>
        <v>67614.670681922129</v>
      </c>
      <c r="H74" s="55" t="s">
        <v>11</v>
      </c>
    </row>
    <row r="75" spans="1:15" s="351" customFormat="1" ht="15" thickTop="1" x14ac:dyDescent="0.3"/>
    <row r="76" spans="1:15" s="351" customFormat="1" ht="15.6" x14ac:dyDescent="0.3">
      <c r="A76" s="406" t="s">
        <v>54</v>
      </c>
      <c r="B76" s="406"/>
      <c r="C76" s="406"/>
      <c r="D76" s="406"/>
      <c r="E76" s="406"/>
      <c r="F76" s="406"/>
      <c r="G76" s="406"/>
      <c r="I76" s="409" t="s">
        <v>62</v>
      </c>
      <c r="J76" s="410"/>
      <c r="K76" s="410"/>
      <c r="L76" s="410"/>
      <c r="M76" s="411"/>
    </row>
    <row r="77" spans="1:15" s="351" customFormat="1" ht="57.6" x14ac:dyDescent="0.3">
      <c r="A77" s="342" t="s">
        <v>5</v>
      </c>
      <c r="B77" s="51" t="s">
        <v>151</v>
      </c>
      <c r="C77" s="51" t="s">
        <v>152</v>
      </c>
      <c r="D77" s="51" t="s">
        <v>153</v>
      </c>
      <c r="E77" s="374" t="s">
        <v>145</v>
      </c>
      <c r="F77" s="51" t="s">
        <v>12</v>
      </c>
      <c r="G77" s="51" t="s">
        <v>134</v>
      </c>
      <c r="I77" s="342" t="s">
        <v>5</v>
      </c>
      <c r="J77" s="51" t="s">
        <v>75</v>
      </c>
      <c r="K77" s="51" t="s">
        <v>51</v>
      </c>
      <c r="L77" s="50" t="s">
        <v>0</v>
      </c>
      <c r="M77" s="51" t="s">
        <v>58</v>
      </c>
    </row>
    <row r="78" spans="1:15" s="351" customFormat="1" x14ac:dyDescent="0.3">
      <c r="A78" s="72" t="s">
        <v>64</v>
      </c>
      <c r="B78" s="386">
        <f>IF($F78="N",0,Base!B74-Option8!J78)</f>
        <v>0</v>
      </c>
      <c r="C78" s="386">
        <f>IF($F78="N",0,Base!C74-Option8!K78)</f>
        <v>0</v>
      </c>
      <c r="D78" s="386">
        <f>IF($F78="N",0,Base!D74-Option8!L78)</f>
        <v>0</v>
      </c>
      <c r="E78" s="368">
        <f t="shared" ref="E78:E87" si="20">D78*$B$9</f>
        <v>0</v>
      </c>
      <c r="F78" s="343" t="str">
        <f>F36</f>
        <v>N</v>
      </c>
      <c r="G78" s="52">
        <f>IF(OR(F78="Y",F78="Y1",F78="Y2"),D78*$G$5-E78,0)</f>
        <v>0</v>
      </c>
      <c r="I78" s="72" t="s">
        <v>64</v>
      </c>
      <c r="J78" s="365">
        <v>746.6099999999999</v>
      </c>
      <c r="K78" s="365">
        <v>9777.73</v>
      </c>
      <c r="L78" s="365">
        <v>7802.7255999999998</v>
      </c>
      <c r="M78" s="365">
        <f t="shared" ref="M78:M87" si="21">L78*$G$5</f>
        <v>483378.85092</v>
      </c>
    </row>
    <row r="79" spans="1:15" s="351" customFormat="1" x14ac:dyDescent="0.3">
      <c r="A79" s="72" t="s">
        <v>65</v>
      </c>
      <c r="B79" s="386">
        <f>IF($F79="N",0,Base!B75-Option8!J79)</f>
        <v>16.580000000000041</v>
      </c>
      <c r="C79" s="386">
        <f>IF($F79="N",0,Base!C75-Option8!K79)</f>
        <v>128.26000000000022</v>
      </c>
      <c r="D79" s="386">
        <f>IF($F79="N",0,Base!D75-Option8!L79)</f>
        <v>90.341919999999845</v>
      </c>
      <c r="E79" s="368">
        <f t="shared" si="20"/>
        <v>81.307727999999869</v>
      </c>
      <c r="F79" s="343" t="str">
        <f t="shared" ref="F79:F87" si="22">F37</f>
        <v>Y</v>
      </c>
      <c r="G79" s="52">
        <f t="shared" ref="G79:G87" si="23">IF(OR(F79="Y",F79="Y1",F79="Y2"),D79*$G$5-E79,0)</f>
        <v>5515.3742159999911</v>
      </c>
      <c r="I79" s="72" t="s">
        <v>65</v>
      </c>
      <c r="J79" s="365">
        <v>778.15</v>
      </c>
      <c r="K79" s="365">
        <v>9817.2899999999991</v>
      </c>
      <c r="L79" s="365">
        <v>7796.5375199999989</v>
      </c>
      <c r="M79" s="365">
        <f t="shared" si="21"/>
        <v>482995.49936399993</v>
      </c>
    </row>
    <row r="80" spans="1:15" s="351" customFormat="1" x14ac:dyDescent="0.3">
      <c r="A80" s="72" t="s">
        <v>66</v>
      </c>
      <c r="B80" s="386">
        <f>IF($F80="N",0,Base!B76-Option8!J80)</f>
        <v>16.060000000000059</v>
      </c>
      <c r="C80" s="386">
        <f>IF($F80="N",0,Base!C76-Option8!K80)</f>
        <v>137.34000000000015</v>
      </c>
      <c r="D80" s="386">
        <f>IF($F80="N",0,Base!D76-Option8!L80)</f>
        <v>97.765439999999217</v>
      </c>
      <c r="E80" s="368">
        <f t="shared" si="20"/>
        <v>87.988895999999301</v>
      </c>
      <c r="F80" s="343" t="str">
        <f t="shared" si="22"/>
        <v>Y</v>
      </c>
      <c r="G80" s="52">
        <f t="shared" si="23"/>
        <v>5968.5801119999533</v>
      </c>
      <c r="I80" s="72" t="s">
        <v>66</v>
      </c>
      <c r="J80" s="365">
        <v>805.97</v>
      </c>
      <c r="K80" s="365">
        <v>9997.0300000000007</v>
      </c>
      <c r="L80" s="365">
        <v>7916.0804800000005</v>
      </c>
      <c r="M80" s="365">
        <f t="shared" si="21"/>
        <v>490401.18573600007</v>
      </c>
      <c r="N80" s="39"/>
      <c r="O80" s="39"/>
    </row>
    <row r="81" spans="1:15" s="351" customFormat="1" x14ac:dyDescent="0.3">
      <c r="A81" s="72" t="s">
        <v>67</v>
      </c>
      <c r="B81" s="386">
        <f>IF($F81="N",0,Base!B77-Option8!J81)</f>
        <v>20.990000000000123</v>
      </c>
      <c r="C81" s="386">
        <f>IF($F81="N",0,Base!C77-Option8!K81)</f>
        <v>279.32000000000153</v>
      </c>
      <c r="D81" s="386">
        <f>IF($F81="N",0,Base!D77-Option8!L81)</f>
        <v>178.60184000000118</v>
      </c>
      <c r="E81" s="368">
        <f t="shared" si="20"/>
        <v>160.74165600000106</v>
      </c>
      <c r="F81" s="343" t="str">
        <f t="shared" si="22"/>
        <v>Y</v>
      </c>
      <c r="G81" s="52">
        <f t="shared" si="23"/>
        <v>10903.642332000072</v>
      </c>
      <c r="I81" s="72" t="s">
        <v>67</v>
      </c>
      <c r="J81" s="365">
        <v>889.94999999999982</v>
      </c>
      <c r="K81" s="365">
        <v>10454.480000000001</v>
      </c>
      <c r="L81" s="365">
        <v>8221.3083200000001</v>
      </c>
      <c r="M81" s="365">
        <f t="shared" si="21"/>
        <v>509310.05042400002</v>
      </c>
      <c r="N81" s="45"/>
      <c r="O81" s="54"/>
    </row>
    <row r="82" spans="1:15" s="351" customFormat="1" x14ac:dyDescent="0.3">
      <c r="A82" s="72" t="s">
        <v>68</v>
      </c>
      <c r="B82" s="386">
        <f>IF($F82="N",0,Base!B78-Option8!J82)</f>
        <v>8.2999999999998408</v>
      </c>
      <c r="C82" s="386">
        <f>IF($F82="N",0,Base!C78-Option8!K82)</f>
        <v>266.45000000000073</v>
      </c>
      <c r="D82" s="386">
        <f>IF($F82="N",0,Base!D78-Option8!L82)</f>
        <v>187.21039999999994</v>
      </c>
      <c r="E82" s="368">
        <f t="shared" si="20"/>
        <v>168.48935999999995</v>
      </c>
      <c r="F82" s="343" t="str">
        <f t="shared" si="22"/>
        <v>Y</v>
      </c>
      <c r="G82" s="52">
        <f t="shared" si="23"/>
        <v>11429.194919999996</v>
      </c>
      <c r="I82" s="72" t="s">
        <v>68</v>
      </c>
      <c r="J82" s="365">
        <v>985.27000000000021</v>
      </c>
      <c r="K82" s="365">
        <v>10962.740000000002</v>
      </c>
      <c r="L82" s="365">
        <v>8512.4928799999998</v>
      </c>
      <c r="M82" s="365">
        <f t="shared" si="21"/>
        <v>527348.93391600007</v>
      </c>
      <c r="N82" s="45"/>
      <c r="O82" s="54"/>
    </row>
    <row r="83" spans="1:15" s="351" customFormat="1" x14ac:dyDescent="0.3">
      <c r="A83" s="72" t="s">
        <v>69</v>
      </c>
      <c r="B83" s="386">
        <f>IF($F83="N",0,Base!B79-Option8!J83)</f>
        <v>22.550000000000182</v>
      </c>
      <c r="C83" s="386">
        <f>IF($F83="N",0,Base!C79-Option8!K83)</f>
        <v>274.15999999999985</v>
      </c>
      <c r="D83" s="386">
        <f>IF($F83="N",0,Base!D79-Option8!L83)</f>
        <v>176.64343999999983</v>
      </c>
      <c r="E83" s="368">
        <f t="shared" si="20"/>
        <v>158.97909599999986</v>
      </c>
      <c r="F83" s="343" t="str">
        <f t="shared" si="22"/>
        <v>Y</v>
      </c>
      <c r="G83" s="52">
        <f t="shared" si="23"/>
        <v>10784.08201199999</v>
      </c>
      <c r="I83" s="72" t="s">
        <v>69</v>
      </c>
      <c r="J83" s="365">
        <v>1077.1699999999998</v>
      </c>
      <c r="K83" s="365">
        <v>11227.91</v>
      </c>
      <c r="L83" s="365">
        <v>8794.0258400000002</v>
      </c>
      <c r="M83" s="365">
        <f t="shared" si="21"/>
        <v>544789.90078800009</v>
      </c>
      <c r="N83" s="39"/>
      <c r="O83" s="39"/>
    </row>
    <row r="84" spans="1:15" s="351" customFormat="1" x14ac:dyDescent="0.3">
      <c r="A84" s="72" t="s">
        <v>70</v>
      </c>
      <c r="B84" s="386">
        <f>IF($F84="N",0,Base!B80-Option8!J84)</f>
        <v>16.339999999999918</v>
      </c>
      <c r="C84" s="386">
        <f>IF($F84="N",0,Base!C80-Option8!K84)</f>
        <v>300.33999999999833</v>
      </c>
      <c r="D84" s="386">
        <f>IF($F84="N",0,Base!D80-Option8!L84)</f>
        <v>184.87359999999899</v>
      </c>
      <c r="E84" s="368">
        <f t="shared" si="20"/>
        <v>166.38623999999911</v>
      </c>
      <c r="F84" s="343" t="str">
        <f t="shared" si="22"/>
        <v>Y</v>
      </c>
      <c r="G84" s="52">
        <f t="shared" si="23"/>
        <v>11286.533279999938</v>
      </c>
      <c r="I84" s="72" t="s">
        <v>70</v>
      </c>
      <c r="J84" s="365">
        <v>1108.31</v>
      </c>
      <c r="K84" s="365">
        <v>11798.199999999999</v>
      </c>
      <c r="L84" s="365">
        <v>9035.8525599999994</v>
      </c>
      <c r="M84" s="365">
        <f t="shared" si="21"/>
        <v>559771.06609199999</v>
      </c>
      <c r="N84" s="39"/>
      <c r="O84" s="39"/>
    </row>
    <row r="85" spans="1:15" s="351" customFormat="1" x14ac:dyDescent="0.3">
      <c r="A85" s="72" t="s">
        <v>71</v>
      </c>
      <c r="B85" s="386">
        <f>IF($F85="N",0,Base!B81-Option8!J85)</f>
        <v>22.289999999999736</v>
      </c>
      <c r="C85" s="386">
        <f>IF($F85="N",0,Base!C81-Option8!K85)</f>
        <v>409.96000000000276</v>
      </c>
      <c r="D85" s="386">
        <f>IF($F85="N",0,Base!D81-Option8!L85)</f>
        <v>219.1794400000017</v>
      </c>
      <c r="E85" s="368">
        <f t="shared" si="20"/>
        <v>197.26149600000153</v>
      </c>
      <c r="F85" s="343" t="str">
        <f t="shared" si="22"/>
        <v>Y</v>
      </c>
      <c r="G85" s="52">
        <f t="shared" si="23"/>
        <v>13380.904812000104</v>
      </c>
      <c r="I85" s="72" t="s">
        <v>71</v>
      </c>
      <c r="J85" s="365">
        <v>1280.6900000000003</v>
      </c>
      <c r="K85" s="365">
        <v>12312.11</v>
      </c>
      <c r="L85" s="365">
        <v>9273.1443199999994</v>
      </c>
      <c r="M85" s="365">
        <f t="shared" si="21"/>
        <v>574471.29062400002</v>
      </c>
      <c r="N85" s="39"/>
      <c r="O85" s="39"/>
    </row>
    <row r="86" spans="1:15" s="351" customFormat="1" x14ac:dyDescent="0.3">
      <c r="A86" s="72" t="s">
        <v>72</v>
      </c>
      <c r="B86" s="386">
        <f>IF($F86="N",0,Base!B82-Option8!J86)</f>
        <v>27.200000000000045</v>
      </c>
      <c r="C86" s="386">
        <f>IF($F86="N",0,Base!C82-Option8!K86)</f>
        <v>453.23999999999796</v>
      </c>
      <c r="D86" s="386">
        <f>IF($F86="N",0,Base!D82-Option8!L86)</f>
        <v>236.6308799999988</v>
      </c>
      <c r="E86" s="368">
        <f t="shared" si="20"/>
        <v>212.96779199999892</v>
      </c>
      <c r="F86" s="343" t="str">
        <f t="shared" si="22"/>
        <v>Y</v>
      </c>
      <c r="G86" s="52">
        <f t="shared" si="23"/>
        <v>14446.315223999927</v>
      </c>
      <c r="I86" s="72" t="s">
        <v>72</v>
      </c>
      <c r="J86" s="365">
        <v>1183.2700000000002</v>
      </c>
      <c r="K86" s="365">
        <v>12864.390000000001</v>
      </c>
      <c r="L86" s="365">
        <v>9559.3435200000004</v>
      </c>
      <c r="M86" s="365">
        <f t="shared" si="21"/>
        <v>592201.33106400003</v>
      </c>
    </row>
    <row r="87" spans="1:15" s="351" customFormat="1" x14ac:dyDescent="0.3">
      <c r="A87" s="72" t="s">
        <v>73</v>
      </c>
      <c r="B87" s="386">
        <f>IF($F87="N",0,Base!B83-Option8!J87)</f>
        <v>27.230000000000018</v>
      </c>
      <c r="C87" s="386">
        <f>IF($F87="N",0,Base!C83-Option8!K87)</f>
        <v>600.76999999999862</v>
      </c>
      <c r="D87" s="386">
        <f>IF($F87="N",0,Base!D83-Option8!L87)</f>
        <v>318.09655999999995</v>
      </c>
      <c r="E87" s="368">
        <f t="shared" si="20"/>
        <v>286.28690399999999</v>
      </c>
      <c r="F87" s="343" t="str">
        <f t="shared" si="22"/>
        <v>Y</v>
      </c>
      <c r="G87" s="52">
        <f t="shared" si="23"/>
        <v>19419.794987999998</v>
      </c>
      <c r="I87" s="72" t="s">
        <v>73</v>
      </c>
      <c r="J87" s="365">
        <v>1376.4899999999998</v>
      </c>
      <c r="K87" s="365">
        <v>14339.539999999999</v>
      </c>
      <c r="L87" s="365">
        <v>10184.614879999999</v>
      </c>
      <c r="M87" s="365">
        <f t="shared" si="21"/>
        <v>630936.89181599999</v>
      </c>
    </row>
    <row r="88" spans="1:15" s="351" customFormat="1" ht="15" thickBot="1" x14ac:dyDescent="0.35">
      <c r="F88" s="60">
        <f>SUM(COUNTIF(F78:F87,{"Y","Y1","Y2"}))</f>
        <v>9</v>
      </c>
      <c r="G88" s="62">
        <f>-PV($G$6,$G$7-F88,G87)</f>
        <v>184080.49209665859</v>
      </c>
      <c r="H88" s="55" t="s">
        <v>11</v>
      </c>
    </row>
    <row r="89" spans="1:15" s="351" customFormat="1" ht="15" thickTop="1" x14ac:dyDescent="0.3"/>
    <row r="90" spans="1:15" s="351" customFormat="1" ht="15.6" x14ac:dyDescent="0.3">
      <c r="A90" s="406" t="s">
        <v>53</v>
      </c>
      <c r="B90" s="406"/>
      <c r="C90" s="406"/>
      <c r="D90" s="406"/>
      <c r="E90" s="406"/>
      <c r="F90" s="406"/>
      <c r="G90" s="406"/>
      <c r="I90" s="409" t="s">
        <v>63</v>
      </c>
      <c r="J90" s="410"/>
      <c r="K90" s="410"/>
      <c r="L90" s="410"/>
      <c r="M90" s="411"/>
    </row>
    <row r="91" spans="1:15" s="351" customFormat="1" ht="57.6" x14ac:dyDescent="0.3">
      <c r="A91" s="342" t="s">
        <v>5</v>
      </c>
      <c r="B91" s="51" t="s">
        <v>151</v>
      </c>
      <c r="C91" s="51" t="s">
        <v>152</v>
      </c>
      <c r="D91" s="51" t="s">
        <v>153</v>
      </c>
      <c r="E91" s="374" t="s">
        <v>145</v>
      </c>
      <c r="F91" s="51" t="s">
        <v>12</v>
      </c>
      <c r="G91" s="51" t="s">
        <v>134</v>
      </c>
      <c r="I91" s="342" t="s">
        <v>5</v>
      </c>
      <c r="J91" s="51" t="s">
        <v>75</v>
      </c>
      <c r="K91" s="51" t="s">
        <v>51</v>
      </c>
      <c r="L91" s="50" t="s">
        <v>0</v>
      </c>
      <c r="M91" s="51" t="s">
        <v>58</v>
      </c>
    </row>
    <row r="92" spans="1:15" s="351" customFormat="1" x14ac:dyDescent="0.3">
      <c r="A92" s="72" t="s">
        <v>64</v>
      </c>
      <c r="B92" s="386">
        <f>IF($F92="N",0,Base!B88-Option8!J92)</f>
        <v>0</v>
      </c>
      <c r="C92" s="386">
        <f>IF($F92="N",0,Base!C88-Option8!K92)</f>
        <v>0</v>
      </c>
      <c r="D92" s="386">
        <f>IF($F92="N",0,Base!D88-Option8!L92)</f>
        <v>0</v>
      </c>
      <c r="E92" s="368">
        <f t="shared" ref="E92:E101" si="24">D92*$B$9</f>
        <v>0</v>
      </c>
      <c r="F92" s="343" t="str">
        <f>F36</f>
        <v>N</v>
      </c>
      <c r="G92" s="52">
        <f>IF(OR(F92="Y",F92="Y1",F92="Y2"),D92*$G$5-E92,0)</f>
        <v>0</v>
      </c>
      <c r="I92" s="72" t="s">
        <v>64</v>
      </c>
      <c r="J92" s="365">
        <v>783.13000000000011</v>
      </c>
      <c r="K92" s="365">
        <v>9931.3900000000012</v>
      </c>
      <c r="L92" s="365">
        <v>7865.9543199999998</v>
      </c>
      <c r="M92" s="365">
        <f t="shared" ref="M92:M101" si="25">L92*$G$5</f>
        <v>487295.87012400001</v>
      </c>
    </row>
    <row r="93" spans="1:15" s="351" customFormat="1" x14ac:dyDescent="0.3">
      <c r="A93" s="72" t="s">
        <v>65</v>
      </c>
      <c r="B93" s="386">
        <f>IF($F93="N",0,Base!B89-Option8!J93)</f>
        <v>20.799999999999955</v>
      </c>
      <c r="C93" s="386">
        <f>IF($F93="N",0,Base!C89-Option8!K93)</f>
        <v>153.22000000000116</v>
      </c>
      <c r="D93" s="386">
        <f>IF($F93="N",0,Base!D89-Option8!L93)</f>
        <v>73.618480000000091</v>
      </c>
      <c r="E93" s="368">
        <f t="shared" si="24"/>
        <v>66.256632000000081</v>
      </c>
      <c r="F93" s="343" t="str">
        <f t="shared" ref="F93:F101" si="26">F37</f>
        <v>Y</v>
      </c>
      <c r="G93" s="52">
        <f t="shared" ref="G93:G101" si="27">IF(OR(F93="Y",F93="Y1",F93="Y2"),D93*$G$5-E93,0)</f>
        <v>4494.4082040000048</v>
      </c>
      <c r="I93" s="72" t="s">
        <v>65</v>
      </c>
      <c r="J93" s="365">
        <v>743.15000000000009</v>
      </c>
      <c r="K93" s="365">
        <v>9563.75</v>
      </c>
      <c r="L93" s="365">
        <v>7598.8723999999993</v>
      </c>
      <c r="M93" s="365">
        <f t="shared" si="25"/>
        <v>470750.14517999999</v>
      </c>
    </row>
    <row r="94" spans="1:15" s="351" customFormat="1" x14ac:dyDescent="0.3">
      <c r="A94" s="72" t="s">
        <v>66</v>
      </c>
      <c r="B94" s="386">
        <f>IF($F94="N",0,Base!B90-Option8!J94)</f>
        <v>15.110000000000127</v>
      </c>
      <c r="C94" s="386">
        <f>IF($F94="N",0,Base!C90-Option8!K94)</f>
        <v>97</v>
      </c>
      <c r="D94" s="386">
        <f>IF($F94="N",0,Base!D90-Option8!L94)</f>
        <v>78.556000000000495</v>
      </c>
      <c r="E94" s="368">
        <f t="shared" si="24"/>
        <v>70.700400000000442</v>
      </c>
      <c r="F94" s="343" t="str">
        <f t="shared" si="26"/>
        <v>Y</v>
      </c>
      <c r="G94" s="52">
        <f t="shared" si="27"/>
        <v>4795.8438000000306</v>
      </c>
      <c r="I94" s="72" t="s">
        <v>66</v>
      </c>
      <c r="J94" s="365">
        <v>740.07999999999993</v>
      </c>
      <c r="K94" s="365">
        <v>9720.2400000000016</v>
      </c>
      <c r="L94" s="365">
        <v>7801.2009600000001</v>
      </c>
      <c r="M94" s="365">
        <f t="shared" si="25"/>
        <v>483284.39947200002</v>
      </c>
    </row>
    <row r="95" spans="1:15" s="351" customFormat="1" x14ac:dyDescent="0.3">
      <c r="A95" s="72" t="s">
        <v>67</v>
      </c>
      <c r="B95" s="386">
        <f>IF($F95="N",0,Base!B91-Option8!J95)</f>
        <v>15.299999999999955</v>
      </c>
      <c r="C95" s="386">
        <f>IF($F95="N",0,Base!C91-Option8!K95)</f>
        <v>95.329999999999927</v>
      </c>
      <c r="D95" s="386">
        <f>IF($F95="N",0,Base!D91-Option8!L95)</f>
        <v>60.592640000000756</v>
      </c>
      <c r="E95" s="368">
        <f t="shared" si="24"/>
        <v>54.533376000000679</v>
      </c>
      <c r="F95" s="343" t="str">
        <f t="shared" si="26"/>
        <v>Y</v>
      </c>
      <c r="G95" s="52">
        <f t="shared" si="27"/>
        <v>3699.1806720000463</v>
      </c>
      <c r="I95" s="72" t="s">
        <v>67</v>
      </c>
      <c r="J95" s="365">
        <v>785.36</v>
      </c>
      <c r="K95" s="365">
        <v>9855.8700000000008</v>
      </c>
      <c r="L95" s="365">
        <v>7851.5918399999991</v>
      </c>
      <c r="M95" s="365">
        <f t="shared" si="25"/>
        <v>486406.11448799999</v>
      </c>
    </row>
    <row r="96" spans="1:15" s="351" customFormat="1" x14ac:dyDescent="0.3">
      <c r="A96" s="72" t="s">
        <v>68</v>
      </c>
      <c r="B96" s="386">
        <f>IF($F96="N",0,Base!B92-Option8!J96)</f>
        <v>11.629999999999995</v>
      </c>
      <c r="C96" s="386">
        <f>IF($F96="N",0,Base!C92-Option8!K96)</f>
        <v>87.270000000000437</v>
      </c>
      <c r="D96" s="386">
        <f>IF($F96="N",0,Base!D92-Option8!L96)</f>
        <v>64.817039999999906</v>
      </c>
      <c r="E96" s="368">
        <f t="shared" si="24"/>
        <v>58.33533599999992</v>
      </c>
      <c r="F96" s="343" t="str">
        <f t="shared" si="26"/>
        <v>Y</v>
      </c>
      <c r="G96" s="52">
        <f t="shared" si="27"/>
        <v>3957.0802919999942</v>
      </c>
      <c r="I96" s="72" t="s">
        <v>68</v>
      </c>
      <c r="J96" s="365">
        <v>879.19999999999993</v>
      </c>
      <c r="K96" s="365">
        <v>10220.300000000001</v>
      </c>
      <c r="L96" s="365">
        <v>8037.7692800000004</v>
      </c>
      <c r="M96" s="365">
        <f t="shared" si="25"/>
        <v>497939.80689600005</v>
      </c>
    </row>
    <row r="97" spans="1:13" s="351" customFormat="1" x14ac:dyDescent="0.3">
      <c r="A97" s="72" t="s">
        <v>69</v>
      </c>
      <c r="B97" s="386">
        <f>IF($F97="N",0,Base!B93-Option8!J97)</f>
        <v>13.260000000000105</v>
      </c>
      <c r="C97" s="386">
        <f>IF($F97="N",0,Base!C93-Option8!K97)</f>
        <v>120.88999999999942</v>
      </c>
      <c r="D97" s="386">
        <f>IF($F97="N",0,Base!D93-Option8!L97)</f>
        <v>92.221760000000359</v>
      </c>
      <c r="E97" s="368">
        <f t="shared" si="24"/>
        <v>82.999584000000326</v>
      </c>
      <c r="F97" s="343" t="str">
        <f t="shared" si="26"/>
        <v>Y</v>
      </c>
      <c r="G97" s="52">
        <f t="shared" si="27"/>
        <v>5630.1384480000224</v>
      </c>
      <c r="I97" s="72" t="s">
        <v>69</v>
      </c>
      <c r="J97" s="365">
        <v>980.14</v>
      </c>
      <c r="K97" s="365">
        <v>10823.91</v>
      </c>
      <c r="L97" s="365">
        <v>8237.6644799999995</v>
      </c>
      <c r="M97" s="365">
        <f t="shared" si="25"/>
        <v>510323.31453599996</v>
      </c>
    </row>
    <row r="98" spans="1:13" s="351" customFormat="1" x14ac:dyDescent="0.3">
      <c r="A98" s="72" t="s">
        <v>70</v>
      </c>
      <c r="B98" s="386">
        <f>IF($F98="N",0,Base!B94-Option8!J98)</f>
        <v>10.410000000000309</v>
      </c>
      <c r="C98" s="386">
        <f>IF($F98="N",0,Base!C94-Option8!K98)</f>
        <v>131.70000000000073</v>
      </c>
      <c r="D98" s="386">
        <f>IF($F98="N",0,Base!D94-Option8!L98)</f>
        <v>112.78968000000168</v>
      </c>
      <c r="E98" s="368">
        <f t="shared" si="24"/>
        <v>101.51071200000152</v>
      </c>
      <c r="F98" s="343" t="str">
        <f t="shared" si="26"/>
        <v>Y</v>
      </c>
      <c r="G98" s="52">
        <f t="shared" si="27"/>
        <v>6885.8099640001037</v>
      </c>
      <c r="I98" s="72" t="s">
        <v>70</v>
      </c>
      <c r="J98" s="365">
        <v>1062.4699999999998</v>
      </c>
      <c r="K98" s="365">
        <v>12149.479999999998</v>
      </c>
      <c r="L98" s="365">
        <v>8889.8753599999982</v>
      </c>
      <c r="M98" s="365">
        <f t="shared" si="25"/>
        <v>550727.77855199995</v>
      </c>
    </row>
    <row r="99" spans="1:13" s="351" customFormat="1" x14ac:dyDescent="0.3">
      <c r="A99" s="72" t="s">
        <v>71</v>
      </c>
      <c r="B99" s="386">
        <f>IF($F99="N",0,Base!B95-Option8!J99)</f>
        <v>11.210000000000264</v>
      </c>
      <c r="C99" s="386">
        <f>IF($F99="N",0,Base!C95-Option8!K99)</f>
        <v>172.97999999999956</v>
      </c>
      <c r="D99" s="386">
        <f>IF($F99="N",0,Base!D95-Option8!L99)</f>
        <v>113.49287999999979</v>
      </c>
      <c r="E99" s="368">
        <f t="shared" si="24"/>
        <v>102.14359199999981</v>
      </c>
      <c r="F99" s="343" t="str">
        <f t="shared" si="26"/>
        <v>Y</v>
      </c>
      <c r="G99" s="52">
        <f t="shared" si="27"/>
        <v>6928.7403239999876</v>
      </c>
      <c r="I99" s="72" t="s">
        <v>71</v>
      </c>
      <c r="J99" s="365">
        <v>1107.22</v>
      </c>
      <c r="K99" s="365">
        <v>13477.3</v>
      </c>
      <c r="L99" s="365">
        <v>9403.9599999999991</v>
      </c>
      <c r="M99" s="365">
        <f t="shared" si="25"/>
        <v>582575.32199999993</v>
      </c>
    </row>
    <row r="100" spans="1:13" s="351" customFormat="1" x14ac:dyDescent="0.3">
      <c r="A100" s="72" t="s">
        <v>72</v>
      </c>
      <c r="B100" s="386">
        <f>IF($F100="N",0,Base!B96-Option8!J100)</f>
        <v>12.009999999999991</v>
      </c>
      <c r="C100" s="386">
        <f>IF($F100="N",0,Base!C96-Option8!K100)</f>
        <v>83.139999999999418</v>
      </c>
      <c r="D100" s="386">
        <f>IF($F100="N",0,Base!D96-Option8!L100)</f>
        <v>83.884719999998197</v>
      </c>
      <c r="E100" s="368">
        <f t="shared" si="24"/>
        <v>75.496247999998374</v>
      </c>
      <c r="F100" s="343" t="str">
        <f t="shared" si="26"/>
        <v>Y</v>
      </c>
      <c r="G100" s="52">
        <f t="shared" si="27"/>
        <v>5121.1621559998903</v>
      </c>
      <c r="I100" s="72" t="s">
        <v>72</v>
      </c>
      <c r="J100" s="365">
        <v>1059.6799999999998</v>
      </c>
      <c r="K100" s="365">
        <v>14755.080000000002</v>
      </c>
      <c r="L100" s="365">
        <v>9677.7321599999996</v>
      </c>
      <c r="M100" s="365">
        <f t="shared" si="25"/>
        <v>599535.50731200003</v>
      </c>
    </row>
    <row r="101" spans="1:13" s="351" customFormat="1" x14ac:dyDescent="0.3">
      <c r="A101" s="72" t="s">
        <v>73</v>
      </c>
      <c r="B101" s="386">
        <f>IF($F101="N",0,Base!B97-Option8!J101)</f>
        <v>13.279999999999973</v>
      </c>
      <c r="C101" s="386">
        <f>IF($F101="N",0,Base!C97-Option8!K101)</f>
        <v>95.92000000000553</v>
      </c>
      <c r="D101" s="386">
        <f>IF($F101="N",0,Base!D97-Option8!L101)</f>
        <v>81.387520000002041</v>
      </c>
      <c r="E101" s="368">
        <f t="shared" si="24"/>
        <v>73.248768000001846</v>
      </c>
      <c r="F101" s="343" t="str">
        <f t="shared" si="26"/>
        <v>Y</v>
      </c>
      <c r="G101" s="52">
        <f t="shared" si="27"/>
        <v>4968.7080960001249</v>
      </c>
      <c r="I101" s="72" t="s">
        <v>73</v>
      </c>
      <c r="J101" s="365">
        <v>1169.4399999999998</v>
      </c>
      <c r="K101" s="365">
        <v>17113.969999999994</v>
      </c>
      <c r="L101" s="365">
        <v>10616.649919999998</v>
      </c>
      <c r="M101" s="365">
        <f t="shared" si="25"/>
        <v>657701.46254399989</v>
      </c>
    </row>
    <row r="102" spans="1:13" s="351" customFormat="1" ht="15" thickBot="1" x14ac:dyDescent="0.35">
      <c r="F102" s="60">
        <f>SUM(COUNTIF(F92:F101,{"Y","Y1","Y2"}))</f>
        <v>9</v>
      </c>
      <c r="G102" s="62">
        <f>-PV($G$6,$G$7-F102,G101)</f>
        <v>47098.449389477908</v>
      </c>
      <c r="H102" s="55" t="s">
        <v>11</v>
      </c>
    </row>
    <row r="103" spans="1:13" ht="15" thickTop="1" x14ac:dyDescent="0.3"/>
    <row r="104" spans="1:13" x14ac:dyDescent="0.3">
      <c r="A104" s="363" t="s">
        <v>121</v>
      </c>
    </row>
    <row r="105" spans="1:13" x14ac:dyDescent="0.3">
      <c r="A105" s="408" t="s">
        <v>5</v>
      </c>
      <c r="B105" s="72" t="s">
        <v>3</v>
      </c>
      <c r="C105" s="344">
        <f>NPV_Summary!$F$35*Option1a!$G$5+Option1a!$G$5</f>
        <v>74.34</v>
      </c>
      <c r="D105" s="26">
        <f>NPV_Summary!$G$35*Option1a!$G$5+Option1a!$G$5</f>
        <v>49.56</v>
      </c>
    </row>
    <row r="106" spans="1:13" ht="43.2" x14ac:dyDescent="0.3">
      <c r="A106" s="408"/>
      <c r="B106" s="51" t="s">
        <v>12</v>
      </c>
      <c r="C106" s="50" t="s">
        <v>25</v>
      </c>
      <c r="D106" s="50" t="s">
        <v>25</v>
      </c>
    </row>
    <row r="107" spans="1:13" x14ac:dyDescent="0.3">
      <c r="A107" s="362" t="s">
        <v>64</v>
      </c>
      <c r="B107" s="3" t="str">
        <f t="shared" ref="B107:B116" si="28">I17</f>
        <v>N</v>
      </c>
      <c r="C107" s="5">
        <f>IF(OR(B107="Y",B107="Y1",B107="Y2"),(D17*$C$105-E17)/1000,0)</f>
        <v>0</v>
      </c>
      <c r="D107" s="5">
        <f>IF(OR(B107="Y",B107="Y1",B107="Y2"),(D17*$D$105-E17)/1000,0)</f>
        <v>0</v>
      </c>
    </row>
    <row r="108" spans="1:13" x14ac:dyDescent="0.3">
      <c r="A108" s="362" t="s">
        <v>65</v>
      </c>
      <c r="B108" s="3" t="str">
        <f t="shared" si="28"/>
        <v>Y</v>
      </c>
      <c r="C108" s="5">
        <f t="shared" ref="C108:C116" si="29">IF(OR(B108="Y",B108="Y1",B108="Y2"),(D18*$C$105-E18)/1000,0)</f>
        <v>6.6430533888000189</v>
      </c>
      <c r="D108" s="5">
        <f t="shared" ref="D108:D116" si="30">IF(OR(B108="Y",B108="Y1",B108="Y2"),(D18*$D$105-E18)/1000,0)</f>
        <v>4.4015656032000123</v>
      </c>
    </row>
    <row r="109" spans="1:13" x14ac:dyDescent="0.3">
      <c r="A109" s="362" t="s">
        <v>66</v>
      </c>
      <c r="B109" s="3" t="str">
        <f t="shared" si="28"/>
        <v>Y</v>
      </c>
      <c r="C109" s="5">
        <f t="shared" si="29"/>
        <v>7.696161838079977</v>
      </c>
      <c r="D109" s="5">
        <f t="shared" si="30"/>
        <v>5.099335989119985</v>
      </c>
    </row>
    <row r="110" spans="1:13" x14ac:dyDescent="0.3">
      <c r="A110" s="362" t="s">
        <v>67</v>
      </c>
      <c r="B110" s="3" t="str">
        <f t="shared" si="28"/>
        <v>Y</v>
      </c>
      <c r="C110" s="5">
        <f t="shared" si="29"/>
        <v>9.4687766553600383</v>
      </c>
      <c r="D110" s="5">
        <f t="shared" si="30"/>
        <v>6.2738381270400252</v>
      </c>
    </row>
    <row r="111" spans="1:13" x14ac:dyDescent="0.3">
      <c r="A111" s="362" t="s">
        <v>68</v>
      </c>
      <c r="B111" s="3" t="str">
        <f t="shared" si="28"/>
        <v>Y</v>
      </c>
      <c r="C111" s="5">
        <f t="shared" si="29"/>
        <v>9.8060930380799967</v>
      </c>
      <c r="D111" s="5">
        <f t="shared" si="30"/>
        <v>6.4973377891199986</v>
      </c>
    </row>
    <row r="112" spans="1:13" x14ac:dyDescent="0.3">
      <c r="A112" s="362" t="s">
        <v>69</v>
      </c>
      <c r="B112" s="3" t="str">
        <f t="shared" si="28"/>
        <v>Y</v>
      </c>
      <c r="C112" s="5">
        <f t="shared" si="29"/>
        <v>10.796314521599987</v>
      </c>
      <c r="D112" s="5">
        <f t="shared" si="30"/>
        <v>7.1534404223999921</v>
      </c>
    </row>
    <row r="113" spans="1:5" x14ac:dyDescent="0.3">
      <c r="A113" s="362" t="s">
        <v>70</v>
      </c>
      <c r="B113" s="3" t="str">
        <f t="shared" si="28"/>
        <v>Y</v>
      </c>
      <c r="C113" s="5">
        <f t="shared" si="29"/>
        <v>11.967715422720026</v>
      </c>
      <c r="D113" s="5">
        <f t="shared" si="30"/>
        <v>7.9295892220800166</v>
      </c>
    </row>
    <row r="114" spans="1:5" x14ac:dyDescent="0.3">
      <c r="A114" s="362" t="s">
        <v>71</v>
      </c>
      <c r="B114" s="3" t="str">
        <f t="shared" si="28"/>
        <v>Y</v>
      </c>
      <c r="C114" s="5">
        <f t="shared" si="29"/>
        <v>13.98802749695999</v>
      </c>
      <c r="D114" s="5">
        <f t="shared" si="30"/>
        <v>9.2682110294399944</v>
      </c>
    </row>
    <row r="115" spans="1:5" x14ac:dyDescent="0.3">
      <c r="A115" s="362" t="s">
        <v>72</v>
      </c>
      <c r="B115" s="3" t="str">
        <f t="shared" si="28"/>
        <v>Y</v>
      </c>
      <c r="C115" s="5">
        <f t="shared" si="29"/>
        <v>14.397144698879936</v>
      </c>
      <c r="D115" s="5">
        <f t="shared" si="30"/>
        <v>9.5392846003199576</v>
      </c>
    </row>
    <row r="116" spans="1:5" x14ac:dyDescent="0.3">
      <c r="A116" s="362" t="s">
        <v>73</v>
      </c>
      <c r="B116" s="3" t="str">
        <f t="shared" si="28"/>
        <v>Y</v>
      </c>
      <c r="C116" s="5">
        <f t="shared" si="29"/>
        <v>17.622595422720028</v>
      </c>
      <c r="D116" s="5">
        <f t="shared" si="30"/>
        <v>11.676409222080018</v>
      </c>
    </row>
    <row r="117" spans="1:5" x14ac:dyDescent="0.3">
      <c r="B117" s="39">
        <f>SUM(COUNTIF(B107:B116,{"Y","Y1","Y2"}))</f>
        <v>9</v>
      </c>
      <c r="C117" s="47">
        <f>-PV($G$6,$G$7-B117,C116)</f>
        <v>167.04481378094692</v>
      </c>
      <c r="D117" s="47">
        <f>-PV($G$6,$G$7-B117,D116)</f>
        <v>110.68083658198363</v>
      </c>
      <c r="E117" s="357" t="s">
        <v>11</v>
      </c>
    </row>
    <row r="118" spans="1:5" ht="15" thickBot="1" x14ac:dyDescent="0.35">
      <c r="C118" s="13">
        <f>NPV($G$6,C107:C115,C116+C117)</f>
        <v>119.89264284021652</v>
      </c>
      <c r="D118" s="13">
        <f>NPV($G$6,D107:D115,D116+D117)</f>
        <v>79.438671032202279</v>
      </c>
      <c r="E118" s="357" t="s">
        <v>23</v>
      </c>
    </row>
    <row r="119" spans="1:5" ht="15" thickTop="1" x14ac:dyDescent="0.3"/>
  </sheetData>
  <mergeCells count="12">
    <mergeCell ref="A105:A106"/>
    <mergeCell ref="A15:J15"/>
    <mergeCell ref="A34:G34"/>
    <mergeCell ref="A48:G48"/>
    <mergeCell ref="A62:G62"/>
    <mergeCell ref="A76:G76"/>
    <mergeCell ref="A90:G90"/>
    <mergeCell ref="I90:M90"/>
    <mergeCell ref="I76:M76"/>
    <mergeCell ref="I62:M62"/>
    <mergeCell ref="I48:M48"/>
    <mergeCell ref="I34:M34"/>
  </mergeCell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02"/>
  <sheetViews>
    <sheetView zoomScale="55" zoomScaleNormal="55" workbookViewId="0">
      <selection activeCell="L28" sqref="L28"/>
    </sheetView>
  </sheetViews>
  <sheetFormatPr defaultRowHeight="14.4" x14ac:dyDescent="0.3"/>
  <cols>
    <col min="1" max="1" width="38.77734375" style="29" customWidth="1"/>
    <col min="2" max="12" width="15.77734375" style="29" customWidth="1"/>
    <col min="13" max="17" width="10.77734375" style="29" customWidth="1"/>
    <col min="18" max="16384" width="8.88671875" style="29"/>
  </cols>
  <sheetData>
    <row r="2" spans="1:18" s="30" customFormat="1" x14ac:dyDescent="0.3">
      <c r="A2" s="8" t="s">
        <v>127</v>
      </c>
    </row>
    <row r="3" spans="1:18" s="30" customFormat="1" x14ac:dyDescent="0.3">
      <c r="A3" s="8"/>
    </row>
    <row r="5" spans="1:18" x14ac:dyDescent="0.3">
      <c r="A5" s="68" t="s">
        <v>31</v>
      </c>
      <c r="B5" s="69" t="s">
        <v>33</v>
      </c>
      <c r="C5" s="69" t="s">
        <v>34</v>
      </c>
      <c r="D5" s="69" t="s">
        <v>35</v>
      </c>
      <c r="F5" s="65" t="s">
        <v>3</v>
      </c>
      <c r="G5" s="9">
        <v>61.95</v>
      </c>
    </row>
    <row r="6" spans="1:18" x14ac:dyDescent="0.3">
      <c r="A6" s="15" t="s">
        <v>4</v>
      </c>
      <c r="B6" s="16">
        <v>94.7</v>
      </c>
      <c r="C6" s="22"/>
      <c r="D6" s="22"/>
      <c r="F6" s="66" t="s">
        <v>2</v>
      </c>
      <c r="G6" s="10">
        <v>0.1</v>
      </c>
    </row>
    <row r="7" spans="1:18" x14ac:dyDescent="0.3">
      <c r="A7" s="15" t="s">
        <v>36</v>
      </c>
      <c r="B7" s="17">
        <v>0.02</v>
      </c>
      <c r="C7" s="31"/>
      <c r="D7" s="31"/>
      <c r="F7" s="66" t="s">
        <v>1</v>
      </c>
      <c r="G7" s="11">
        <v>40</v>
      </c>
    </row>
    <row r="8" spans="1:18" x14ac:dyDescent="0.3">
      <c r="A8" s="15" t="s">
        <v>30</v>
      </c>
      <c r="B8" s="18">
        <f>-PV($G$6,$G$7,B6*B7)</f>
        <v>18.521522060797711</v>
      </c>
      <c r="C8" s="32">
        <f>-PV($G$6,$G$7,C6*C7)</f>
        <v>0</v>
      </c>
      <c r="D8" s="32">
        <f>-PV($G$6,$G$7,D6*D7)</f>
        <v>0</v>
      </c>
      <c r="F8" s="66" t="s">
        <v>6</v>
      </c>
      <c r="G8" s="10">
        <v>0.2</v>
      </c>
    </row>
    <row r="9" spans="1:18" x14ac:dyDescent="0.3">
      <c r="A9" s="15" t="s">
        <v>32</v>
      </c>
      <c r="B9" s="18">
        <f>B6+B8</f>
        <v>113.22152206079771</v>
      </c>
      <c r="C9" s="32">
        <f>C6+C8</f>
        <v>0</v>
      </c>
      <c r="D9" s="32">
        <f>D6+D8</f>
        <v>0</v>
      </c>
      <c r="F9" s="66" t="s">
        <v>7</v>
      </c>
      <c r="G9" s="10">
        <v>0.2</v>
      </c>
    </row>
    <row r="10" spans="1:18" x14ac:dyDescent="0.3">
      <c r="A10" s="15" t="s">
        <v>15</v>
      </c>
      <c r="B10" s="18">
        <f>-PMT($G$6,$G$7,B9)</f>
        <v>11.577966545040791</v>
      </c>
      <c r="C10" s="32">
        <f>-PMT($G$6,$G$7,C9)</f>
        <v>0</v>
      </c>
      <c r="D10" s="32">
        <f>-PMT($G$6,$G$7,D9)</f>
        <v>0</v>
      </c>
      <c r="F10" s="66" t="s">
        <v>8</v>
      </c>
      <c r="G10" s="10">
        <v>0.2</v>
      </c>
    </row>
    <row r="11" spans="1:18" x14ac:dyDescent="0.3">
      <c r="B11" s="14"/>
      <c r="C11" s="14"/>
      <c r="D11" s="14"/>
      <c r="F11" s="66" t="s">
        <v>9</v>
      </c>
      <c r="G11" s="10">
        <v>0.2</v>
      </c>
    </row>
    <row r="12" spans="1:18" x14ac:dyDescent="0.3">
      <c r="A12" s="6" t="s">
        <v>28</v>
      </c>
      <c r="B12" s="19">
        <f>SUM(B9:D9)</f>
        <v>113.22152206079771</v>
      </c>
      <c r="C12" s="14"/>
      <c r="D12" s="14"/>
      <c r="F12" s="67" t="s">
        <v>10</v>
      </c>
      <c r="G12" s="12">
        <v>0.2</v>
      </c>
    </row>
    <row r="13" spans="1:18" x14ac:dyDescent="0.3">
      <c r="A13" s="7" t="s">
        <v>29</v>
      </c>
      <c r="B13" s="20">
        <f>-PMT($G$6,$G$7,B12)</f>
        <v>11.577966545040791</v>
      </c>
      <c r="C13" s="14"/>
      <c r="D13" s="14"/>
    </row>
    <row r="15" spans="1:18" ht="15.6" x14ac:dyDescent="0.3">
      <c r="A15" s="397" t="s">
        <v>57</v>
      </c>
      <c r="B15" s="397"/>
      <c r="C15" s="397"/>
      <c r="D15" s="397"/>
      <c r="E15" s="397"/>
      <c r="F15" s="397"/>
      <c r="G15" s="397"/>
      <c r="H15" s="397"/>
      <c r="I15" s="397"/>
      <c r="M15" s="407"/>
      <c r="N15" s="407"/>
      <c r="O15" s="407"/>
      <c r="P15" s="407"/>
      <c r="Q15" s="407"/>
      <c r="R15" s="23"/>
    </row>
    <row r="16" spans="1:18" s="14" customFormat="1" ht="69.599999999999994" customHeight="1" x14ac:dyDescent="0.3">
      <c r="A16" s="40" t="s">
        <v>5</v>
      </c>
      <c r="B16" s="51" t="s">
        <v>151</v>
      </c>
      <c r="C16" s="51" t="s">
        <v>152</v>
      </c>
      <c r="D16" s="51" t="s">
        <v>153</v>
      </c>
      <c r="E16" s="50" t="s">
        <v>25</v>
      </c>
      <c r="F16" s="50" t="s">
        <v>15</v>
      </c>
      <c r="G16" s="50" t="s">
        <v>26</v>
      </c>
      <c r="H16" s="50" t="s">
        <v>12</v>
      </c>
      <c r="I16" s="50" t="s">
        <v>24</v>
      </c>
      <c r="J16" s="35"/>
      <c r="K16" s="35"/>
      <c r="M16" s="36"/>
      <c r="N16" s="37"/>
      <c r="O16" s="37"/>
      <c r="P16" s="37"/>
      <c r="Q16" s="38"/>
      <c r="R16" s="39"/>
    </row>
    <row r="17" spans="1:18" s="14" customFormat="1" x14ac:dyDescent="0.3">
      <c r="A17" s="72" t="s">
        <v>64</v>
      </c>
      <c r="B17" s="40">
        <f>MAX(B35,B49,B63,B77,B91)</f>
        <v>211.05000000000007</v>
      </c>
      <c r="C17" s="40">
        <f>MAX(C35,C49,C63,C77,C91)</f>
        <v>1162.6800000000021</v>
      </c>
      <c r="D17" s="40">
        <f t="shared" ref="D17:D26" si="0">$G$8*D35+$G$9*D49+$G$10*D63+$G$11*D77+$G$12*D91</f>
        <v>599.30792000000065</v>
      </c>
      <c r="E17" s="41">
        <f t="shared" ref="E17:E26" si="1">D17*$G$5/1000</f>
        <v>37.127125644000046</v>
      </c>
      <c r="F17" s="41">
        <f t="shared" ref="F17:F26" si="2">$B$13</f>
        <v>11.577966545040791</v>
      </c>
      <c r="G17" s="41">
        <f>E17-F17</f>
        <v>25.549159098959255</v>
      </c>
      <c r="H17" s="42" t="s">
        <v>13</v>
      </c>
      <c r="I17" s="41">
        <f>IF(OR(H17="Y",H17="Y1",H17="Y2"),E17,-Q17)</f>
        <v>37.127125644000046</v>
      </c>
      <c r="J17" s="43"/>
      <c r="K17" s="43"/>
      <c r="M17" s="44"/>
      <c r="N17" s="45"/>
      <c r="O17" s="45"/>
      <c r="P17" s="45"/>
      <c r="Q17" s="33"/>
      <c r="R17" s="39"/>
    </row>
    <row r="18" spans="1:18" s="14" customFormat="1" x14ac:dyDescent="0.3">
      <c r="A18" s="72" t="s">
        <v>65</v>
      </c>
      <c r="B18" s="40">
        <f t="shared" ref="B18:C26" si="3">MAX(B36,B50,B64,B78,B92)</f>
        <v>209.14</v>
      </c>
      <c r="C18" s="40">
        <f t="shared" si="3"/>
        <v>889.20000000000073</v>
      </c>
      <c r="D18" s="40">
        <f t="shared" si="0"/>
        <v>423.62823999999966</v>
      </c>
      <c r="E18" s="41">
        <f t="shared" si="1"/>
        <v>26.243769467999979</v>
      </c>
      <c r="F18" s="41">
        <f t="shared" si="2"/>
        <v>11.577966545040791</v>
      </c>
      <c r="G18" s="41">
        <f t="shared" ref="G18:G26" si="4">E18-F18</f>
        <v>14.665802922959188</v>
      </c>
      <c r="H18" s="42" t="s">
        <v>13</v>
      </c>
      <c r="I18" s="41">
        <f t="shared" ref="I18:I26" si="5">IF(OR(H18="Y",H18="Y1",H18="Y2"),E18,-Q18)</f>
        <v>26.243769467999979</v>
      </c>
      <c r="J18" s="43"/>
      <c r="K18" s="43"/>
      <c r="M18" s="44"/>
      <c r="N18" s="45"/>
      <c r="O18" s="45"/>
      <c r="P18" s="45"/>
      <c r="Q18" s="33"/>
      <c r="R18" s="39"/>
    </row>
    <row r="19" spans="1:18" s="14" customFormat="1" x14ac:dyDescent="0.3">
      <c r="A19" s="72" t="s">
        <v>66</v>
      </c>
      <c r="B19" s="40">
        <f t="shared" si="3"/>
        <v>221.36000000000013</v>
      </c>
      <c r="C19" s="40">
        <f t="shared" si="3"/>
        <v>905.79000000000087</v>
      </c>
      <c r="D19" s="40">
        <f t="shared" si="0"/>
        <v>401.17516799999959</v>
      </c>
      <c r="E19" s="41">
        <f t="shared" si="1"/>
        <v>24.852801657599976</v>
      </c>
      <c r="F19" s="41">
        <f t="shared" si="2"/>
        <v>11.577966545040791</v>
      </c>
      <c r="G19" s="41">
        <f t="shared" si="4"/>
        <v>13.274835112559185</v>
      </c>
      <c r="H19" s="42" t="s">
        <v>13</v>
      </c>
      <c r="I19" s="41">
        <f t="shared" si="5"/>
        <v>24.852801657599976</v>
      </c>
      <c r="J19" s="43"/>
      <c r="K19" s="43"/>
      <c r="M19" s="44"/>
      <c r="N19" s="45"/>
      <c r="O19" s="45"/>
      <c r="P19" s="45"/>
      <c r="Q19" s="33"/>
      <c r="R19" s="39"/>
    </row>
    <row r="20" spans="1:18" s="14" customFormat="1" x14ac:dyDescent="0.3">
      <c r="A20" s="72" t="s">
        <v>67</v>
      </c>
      <c r="B20" s="40">
        <f t="shared" si="3"/>
        <v>248.82999999999993</v>
      </c>
      <c r="C20" s="40">
        <f t="shared" si="3"/>
        <v>1043.3900000000012</v>
      </c>
      <c r="D20" s="40">
        <f t="shared" si="0"/>
        <v>483.78841600000067</v>
      </c>
      <c r="E20" s="41">
        <f t="shared" si="1"/>
        <v>29.970692371200041</v>
      </c>
      <c r="F20" s="41">
        <f t="shared" si="2"/>
        <v>11.577966545040791</v>
      </c>
      <c r="G20" s="41">
        <f t="shared" si="4"/>
        <v>18.39272582615925</v>
      </c>
      <c r="H20" s="42" t="s">
        <v>13</v>
      </c>
      <c r="I20" s="41">
        <f t="shared" si="5"/>
        <v>29.970692371200041</v>
      </c>
      <c r="J20" s="43"/>
      <c r="K20" s="43"/>
      <c r="M20" s="44"/>
      <c r="N20" s="45"/>
      <c r="O20" s="45"/>
      <c r="P20" s="45"/>
      <c r="Q20" s="33"/>
      <c r="R20" s="39"/>
    </row>
    <row r="21" spans="1:18" s="14" customFormat="1" x14ac:dyDescent="0.3">
      <c r="A21" s="72" t="s">
        <v>68</v>
      </c>
      <c r="B21" s="40">
        <f t="shared" si="3"/>
        <v>297.0100000000001</v>
      </c>
      <c r="C21" s="40">
        <f t="shared" si="3"/>
        <v>1112.3499999999985</v>
      </c>
      <c r="D21" s="40">
        <f t="shared" si="0"/>
        <v>476.33567999999929</v>
      </c>
      <c r="E21" s="41">
        <f t="shared" si="1"/>
        <v>29.508995375999959</v>
      </c>
      <c r="F21" s="41">
        <f t="shared" si="2"/>
        <v>11.577966545040791</v>
      </c>
      <c r="G21" s="41">
        <f t="shared" si="4"/>
        <v>17.931028830959168</v>
      </c>
      <c r="H21" s="42" t="s">
        <v>13</v>
      </c>
      <c r="I21" s="41">
        <f t="shared" si="5"/>
        <v>29.508995375999959</v>
      </c>
      <c r="J21" s="43"/>
      <c r="K21" s="43"/>
      <c r="M21" s="44"/>
      <c r="N21" s="45"/>
      <c r="O21" s="45"/>
      <c r="P21" s="45"/>
      <c r="Q21" s="33"/>
      <c r="R21" s="39"/>
    </row>
    <row r="22" spans="1:18" s="14" customFormat="1" x14ac:dyDescent="0.3">
      <c r="A22" s="72" t="s">
        <v>69</v>
      </c>
      <c r="B22" s="40">
        <f t="shared" si="3"/>
        <v>304.93999999999983</v>
      </c>
      <c r="C22" s="40">
        <f t="shared" si="3"/>
        <v>1271.8899999999994</v>
      </c>
      <c r="D22" s="40">
        <f t="shared" si="0"/>
        <v>481.95454399999926</v>
      </c>
      <c r="E22" s="41">
        <f t="shared" si="1"/>
        <v>29.857084000799954</v>
      </c>
      <c r="F22" s="41">
        <f t="shared" si="2"/>
        <v>11.577966545040791</v>
      </c>
      <c r="G22" s="41">
        <f t="shared" si="4"/>
        <v>18.279117455759163</v>
      </c>
      <c r="H22" s="42" t="s">
        <v>13</v>
      </c>
      <c r="I22" s="41">
        <f t="shared" si="5"/>
        <v>29.857084000799954</v>
      </c>
      <c r="J22" s="43"/>
      <c r="K22" s="43"/>
      <c r="M22" s="44"/>
      <c r="N22" s="45"/>
      <c r="O22" s="45"/>
      <c r="P22" s="45"/>
      <c r="Q22" s="33"/>
      <c r="R22" s="39"/>
    </row>
    <row r="23" spans="1:18" s="14" customFormat="1" x14ac:dyDescent="0.3">
      <c r="A23" s="72" t="s">
        <v>70</v>
      </c>
      <c r="B23" s="40">
        <f t="shared" si="3"/>
        <v>286.62000000000012</v>
      </c>
      <c r="C23" s="40">
        <f t="shared" si="3"/>
        <v>1403.239999999998</v>
      </c>
      <c r="D23" s="40">
        <f t="shared" si="0"/>
        <v>598.19833600000015</v>
      </c>
      <c r="E23" s="41">
        <f t="shared" si="1"/>
        <v>37.05838691520001</v>
      </c>
      <c r="F23" s="41">
        <f t="shared" si="2"/>
        <v>11.577966545040791</v>
      </c>
      <c r="G23" s="41">
        <f t="shared" si="4"/>
        <v>25.480420370159219</v>
      </c>
      <c r="H23" s="46" t="s">
        <v>13</v>
      </c>
      <c r="I23" s="41">
        <f t="shared" si="5"/>
        <v>37.05838691520001</v>
      </c>
      <c r="J23" s="43"/>
      <c r="K23" s="43"/>
      <c r="M23" s="44"/>
      <c r="N23" s="45"/>
      <c r="O23" s="45"/>
      <c r="P23" s="45"/>
      <c r="Q23" s="33"/>
      <c r="R23" s="39"/>
    </row>
    <row r="24" spans="1:18" s="14" customFormat="1" x14ac:dyDescent="0.3">
      <c r="A24" s="72" t="s">
        <v>71</v>
      </c>
      <c r="B24" s="40">
        <f t="shared" si="3"/>
        <v>289.52999999999986</v>
      </c>
      <c r="C24" s="40">
        <f t="shared" si="3"/>
        <v>1469.5799999999963</v>
      </c>
      <c r="D24" s="40">
        <f t="shared" si="0"/>
        <v>632.76641599999914</v>
      </c>
      <c r="E24" s="41">
        <f t="shared" si="1"/>
        <v>39.199879471199949</v>
      </c>
      <c r="F24" s="41">
        <f t="shared" si="2"/>
        <v>11.577966545040791</v>
      </c>
      <c r="G24" s="41">
        <f t="shared" si="4"/>
        <v>27.621912926159158</v>
      </c>
      <c r="H24" s="46" t="s">
        <v>13</v>
      </c>
      <c r="I24" s="41">
        <f t="shared" si="5"/>
        <v>39.199879471199949</v>
      </c>
      <c r="J24" s="43"/>
      <c r="K24" s="43"/>
      <c r="M24" s="44"/>
      <c r="N24" s="45"/>
      <c r="O24" s="45"/>
      <c r="P24" s="45"/>
      <c r="Q24" s="33"/>
      <c r="R24" s="39"/>
    </row>
    <row r="25" spans="1:18" s="14" customFormat="1" x14ac:dyDescent="0.3">
      <c r="A25" s="72" t="s">
        <v>72</v>
      </c>
      <c r="B25" s="40">
        <f t="shared" si="3"/>
        <v>259.0300000000002</v>
      </c>
      <c r="C25" s="40">
        <f t="shared" si="3"/>
        <v>1746.6600000000071</v>
      </c>
      <c r="D25" s="40">
        <f t="shared" si="0"/>
        <v>605.45587200000068</v>
      </c>
      <c r="E25" s="41">
        <f t="shared" si="1"/>
        <v>37.507991270400048</v>
      </c>
      <c r="F25" s="41">
        <f t="shared" si="2"/>
        <v>11.577966545040791</v>
      </c>
      <c r="G25" s="41">
        <f t="shared" si="4"/>
        <v>25.930024725359257</v>
      </c>
      <c r="H25" s="46" t="s">
        <v>13</v>
      </c>
      <c r="I25" s="41">
        <f t="shared" si="5"/>
        <v>37.507991270400048</v>
      </c>
      <c r="J25" s="43"/>
      <c r="K25" s="43"/>
      <c r="M25" s="44"/>
      <c r="N25" s="45"/>
      <c r="O25" s="45"/>
      <c r="P25" s="45"/>
      <c r="Q25" s="33"/>
      <c r="R25" s="39"/>
    </row>
    <row r="26" spans="1:18" s="14" customFormat="1" x14ac:dyDescent="0.3">
      <c r="A26" s="72" t="s">
        <v>73</v>
      </c>
      <c r="B26" s="40">
        <f t="shared" si="3"/>
        <v>274.68000000000006</v>
      </c>
      <c r="C26" s="40">
        <f t="shared" si="3"/>
        <v>2103.830000000009</v>
      </c>
      <c r="D26" s="40">
        <f t="shared" si="0"/>
        <v>632.52520000000175</v>
      </c>
      <c r="E26" s="41">
        <f t="shared" si="1"/>
        <v>39.184936140000104</v>
      </c>
      <c r="F26" s="41">
        <f t="shared" si="2"/>
        <v>11.577966545040791</v>
      </c>
      <c r="G26" s="41">
        <f t="shared" si="4"/>
        <v>27.606969594959313</v>
      </c>
      <c r="H26" s="58" t="s">
        <v>13</v>
      </c>
      <c r="I26" s="59">
        <f t="shared" si="5"/>
        <v>39.184936140000104</v>
      </c>
      <c r="J26" s="43"/>
      <c r="K26" s="43"/>
      <c r="M26" s="44"/>
      <c r="N26" s="45"/>
      <c r="O26" s="45"/>
      <c r="P26" s="45"/>
      <c r="Q26" s="33"/>
      <c r="R26" s="39"/>
    </row>
    <row r="27" spans="1:18" s="14" customFormat="1" ht="15" thickBot="1" x14ac:dyDescent="0.35">
      <c r="G27" s="57"/>
      <c r="H27" s="60">
        <f>COUNTIF(H17:H26,"Y")</f>
        <v>10</v>
      </c>
      <c r="I27" s="61">
        <f>-PV($G$6,$G$7-H27,I26)</f>
        <v>369.39304138618047</v>
      </c>
      <c r="J27" s="56" t="s">
        <v>11</v>
      </c>
      <c r="K27" s="47"/>
      <c r="L27" s="39"/>
      <c r="M27" s="39"/>
      <c r="Q27" s="45"/>
    </row>
    <row r="28" spans="1:18" s="14" customFormat="1" ht="15" thickTop="1" x14ac:dyDescent="0.3">
      <c r="I28" s="47"/>
      <c r="J28" s="39"/>
      <c r="K28" s="47"/>
      <c r="L28" s="39"/>
      <c r="M28" s="39"/>
    </row>
    <row r="29" spans="1:18" s="14" customFormat="1" ht="43.2" x14ac:dyDescent="0.3">
      <c r="A29" s="34"/>
      <c r="B29" s="63" t="s">
        <v>16</v>
      </c>
      <c r="C29" s="63" t="s">
        <v>17</v>
      </c>
      <c r="D29" s="63" t="s">
        <v>18</v>
      </c>
      <c r="E29" s="63" t="s">
        <v>19</v>
      </c>
      <c r="F29" s="63" t="s">
        <v>20</v>
      </c>
      <c r="G29" s="63" t="s">
        <v>21</v>
      </c>
      <c r="H29" s="64" t="s">
        <v>28</v>
      </c>
      <c r="I29" s="64" t="s">
        <v>37</v>
      </c>
      <c r="K29" s="39"/>
      <c r="L29" s="39"/>
      <c r="M29" s="39"/>
    </row>
    <row r="30" spans="1:18" s="14" customFormat="1" x14ac:dyDescent="0.3">
      <c r="A30" s="4" t="s">
        <v>22</v>
      </c>
      <c r="B30" s="48">
        <f>NPV($G$6,F35:F43,F44+F45)/1000</f>
        <v>149.19949774551708</v>
      </c>
      <c r="C30" s="48">
        <f>NPV($G$6,F49:F57,F58+F59)/1000</f>
        <v>474.93093871187494</v>
      </c>
      <c r="D30" s="48">
        <f>NPV($G$6,F63:F71,F72+F73)/1000</f>
        <v>458.43473755679298</v>
      </c>
      <c r="E30" s="48">
        <f>NPV($G$6,F77:F85,F86+F87)/1000</f>
        <v>360.71977981162468</v>
      </c>
      <c r="F30" s="48">
        <f>NPV($G$6,F91:F99,F100+F101)/1000</f>
        <v>269.95730528868273</v>
      </c>
      <c r="G30" s="49">
        <f>B30*G8+C30*G9+D30*G10+E30*G11+F30*G12</f>
        <v>342.64845182289849</v>
      </c>
      <c r="H30" s="18">
        <f>B12</f>
        <v>113.22152206079771</v>
      </c>
      <c r="I30" s="48">
        <f>G30-H30</f>
        <v>229.42692976210077</v>
      </c>
    </row>
    <row r="31" spans="1:18" s="14" customFormat="1" x14ac:dyDescent="0.3">
      <c r="I31" s="27"/>
    </row>
    <row r="32" spans="1:18" s="14" customFormat="1" x14ac:dyDescent="0.3"/>
    <row r="33" spans="1:14" s="14" customFormat="1" ht="15.6" x14ac:dyDescent="0.3">
      <c r="A33" s="409" t="s">
        <v>52</v>
      </c>
      <c r="B33" s="410"/>
      <c r="C33" s="410"/>
      <c r="D33" s="410"/>
      <c r="E33" s="410"/>
      <c r="F33" s="411"/>
      <c r="H33" s="406" t="s">
        <v>59</v>
      </c>
      <c r="I33" s="406"/>
      <c r="J33" s="406"/>
      <c r="K33" s="406"/>
      <c r="L33" s="406"/>
    </row>
    <row r="34" spans="1:14" s="14" customFormat="1" ht="43.2" x14ac:dyDescent="0.3">
      <c r="A34" s="1" t="s">
        <v>5</v>
      </c>
      <c r="B34" s="51" t="s">
        <v>151</v>
      </c>
      <c r="C34" s="51" t="s">
        <v>152</v>
      </c>
      <c r="D34" s="51" t="s">
        <v>153</v>
      </c>
      <c r="E34" s="51" t="s">
        <v>12</v>
      </c>
      <c r="F34" s="51" t="s">
        <v>58</v>
      </c>
      <c r="H34" s="94" t="s">
        <v>5</v>
      </c>
      <c r="I34" s="51" t="s">
        <v>75</v>
      </c>
      <c r="J34" s="51" t="s">
        <v>51</v>
      </c>
      <c r="K34" s="50" t="s">
        <v>0</v>
      </c>
      <c r="L34" s="51" t="s">
        <v>58</v>
      </c>
    </row>
    <row r="35" spans="1:14" s="14" customFormat="1" x14ac:dyDescent="0.3">
      <c r="A35" s="72" t="s">
        <v>64</v>
      </c>
      <c r="B35" s="40">
        <f>Base!B32-'DoubleCircuit_MLTS-BATS'!I35</f>
        <v>157.20000000000005</v>
      </c>
      <c r="C35" s="40">
        <f>Base!C32-'DoubleCircuit_MLTS-BATS'!J35</f>
        <v>1008.1300000000028</v>
      </c>
      <c r="D35" s="40">
        <f>Base!D32-'DoubleCircuit_MLTS-BATS'!K35</f>
        <v>552.25696000000062</v>
      </c>
      <c r="E35" s="2" t="str">
        <f t="shared" ref="E35:E44" si="6">H17</f>
        <v>Y</v>
      </c>
      <c r="F35" s="52">
        <f t="shared" ref="F35:F44" si="7">IF(E35="Y",D35*$G$5,-D35*$G$5)</f>
        <v>34212.318672000038</v>
      </c>
      <c r="H35" s="72" t="s">
        <v>64</v>
      </c>
      <c r="I35" s="40">
        <v>642.59</v>
      </c>
      <c r="J35" s="40">
        <v>9233.7099999999991</v>
      </c>
      <c r="K35" s="40">
        <v>7533.2984799999995</v>
      </c>
      <c r="L35" s="40">
        <f t="shared" ref="L35:L44" si="8">K35*$G$5</f>
        <v>466687.84083599999</v>
      </c>
      <c r="N35" s="53"/>
    </row>
    <row r="36" spans="1:14" s="14" customFormat="1" x14ac:dyDescent="0.3">
      <c r="A36" s="72" t="s">
        <v>65</v>
      </c>
      <c r="B36" s="40">
        <f>Base!B33-'DoubleCircuit_MLTS-BATS'!I36</f>
        <v>169.48000000000002</v>
      </c>
      <c r="C36" s="40">
        <f>Base!C33-'DoubleCircuit_MLTS-BATS'!J36</f>
        <v>718.15999999999985</v>
      </c>
      <c r="D36" s="40">
        <f>Base!D33-'DoubleCircuit_MLTS-BATS'!K36</f>
        <v>397.20655999999963</v>
      </c>
      <c r="E36" s="2" t="str">
        <f t="shared" si="6"/>
        <v>Y</v>
      </c>
      <c r="F36" s="52">
        <f t="shared" si="7"/>
        <v>24606.946391999976</v>
      </c>
      <c r="H36" s="72" t="s">
        <v>65</v>
      </c>
      <c r="I36" s="40">
        <v>680.66000000000008</v>
      </c>
      <c r="J36" s="40">
        <v>9434.3700000000008</v>
      </c>
      <c r="K36" s="40">
        <v>7587.72192</v>
      </c>
      <c r="L36" s="40">
        <f t="shared" si="8"/>
        <v>470059.372944</v>
      </c>
    </row>
    <row r="37" spans="1:14" s="14" customFormat="1" x14ac:dyDescent="0.3">
      <c r="A37" s="72" t="s">
        <v>66</v>
      </c>
      <c r="B37" s="40">
        <f>Base!B34-'DoubleCircuit_MLTS-BATS'!I37</f>
        <v>195.76999999999998</v>
      </c>
      <c r="C37" s="40">
        <f>Base!C34-'DoubleCircuit_MLTS-BATS'!J37</f>
        <v>466.48999999999978</v>
      </c>
      <c r="D37" s="40">
        <f>Base!D34-'DoubleCircuit_MLTS-BATS'!K37</f>
        <v>300.53575999999975</v>
      </c>
      <c r="E37" s="2" t="str">
        <f t="shared" si="6"/>
        <v>Y</v>
      </c>
      <c r="F37" s="52">
        <f t="shared" si="7"/>
        <v>18618.190331999987</v>
      </c>
      <c r="H37" s="72" t="s">
        <v>66</v>
      </c>
      <c r="I37" s="40">
        <v>744.29000000000008</v>
      </c>
      <c r="J37" s="40">
        <v>9993.8700000000008</v>
      </c>
      <c r="K37" s="40">
        <v>7928.204639999999</v>
      </c>
      <c r="L37" s="40">
        <f t="shared" si="8"/>
        <v>491152.27744799998</v>
      </c>
    </row>
    <row r="38" spans="1:14" s="14" customFormat="1" x14ac:dyDescent="0.3">
      <c r="A38" s="72" t="s">
        <v>67</v>
      </c>
      <c r="B38" s="40">
        <f>Base!B35-'DoubleCircuit_MLTS-BATS'!I38</f>
        <v>194.11</v>
      </c>
      <c r="C38" s="40">
        <f>Base!C35-'DoubleCircuit_MLTS-BATS'!J38</f>
        <v>498.43000000000029</v>
      </c>
      <c r="D38" s="40">
        <f>Base!D35-'DoubleCircuit_MLTS-BATS'!K38</f>
        <v>299.8194399999993</v>
      </c>
      <c r="E38" s="2" t="str">
        <f t="shared" si="6"/>
        <v>Y</v>
      </c>
      <c r="F38" s="52">
        <f t="shared" si="7"/>
        <v>18573.814307999957</v>
      </c>
      <c r="H38" s="72" t="s">
        <v>67</v>
      </c>
      <c r="I38" s="40">
        <v>798.45</v>
      </c>
      <c r="J38" s="40">
        <v>10207.720000000001</v>
      </c>
      <c r="K38" s="40">
        <v>8027.7505600000004</v>
      </c>
      <c r="L38" s="40">
        <f t="shared" si="8"/>
        <v>497319.14719200006</v>
      </c>
    </row>
    <row r="39" spans="1:14" s="14" customFormat="1" x14ac:dyDescent="0.3">
      <c r="A39" s="72" t="s">
        <v>68</v>
      </c>
      <c r="B39" s="40">
        <f>Base!B36-'DoubleCircuit_MLTS-BATS'!I39</f>
        <v>233.15999999999997</v>
      </c>
      <c r="C39" s="40">
        <f>Base!C36-'DoubleCircuit_MLTS-BATS'!J39</f>
        <v>476.02999999999884</v>
      </c>
      <c r="D39" s="40">
        <f>Base!D36-'DoubleCircuit_MLTS-BATS'!K39</f>
        <v>239.06984000000011</v>
      </c>
      <c r="E39" s="2" t="str">
        <f t="shared" si="6"/>
        <v>Y</v>
      </c>
      <c r="F39" s="52">
        <f t="shared" si="7"/>
        <v>14810.376588000008</v>
      </c>
      <c r="H39" s="72" t="s">
        <v>68</v>
      </c>
      <c r="I39" s="40">
        <v>896.78000000000009</v>
      </c>
      <c r="J39" s="40">
        <v>10581.26</v>
      </c>
      <c r="K39" s="40">
        <v>8220.5602399999989</v>
      </c>
      <c r="L39" s="40">
        <f t="shared" si="8"/>
        <v>509263.70686799998</v>
      </c>
    </row>
    <row r="40" spans="1:14" s="14" customFormat="1" x14ac:dyDescent="0.3">
      <c r="A40" s="72" t="s">
        <v>69</v>
      </c>
      <c r="B40" s="40">
        <f>Base!B37-'DoubleCircuit_MLTS-BATS'!I40</f>
        <v>191.94000000000017</v>
      </c>
      <c r="C40" s="40">
        <f>Base!C37-'DoubleCircuit_MLTS-BATS'!J40</f>
        <v>230.63999999999942</v>
      </c>
      <c r="D40" s="40">
        <f>Base!D37-'DoubleCircuit_MLTS-BATS'!K40</f>
        <v>153.10559999999896</v>
      </c>
      <c r="E40" s="2" t="str">
        <f t="shared" si="6"/>
        <v>Y</v>
      </c>
      <c r="F40" s="52">
        <f t="shared" si="7"/>
        <v>9484.8919199999364</v>
      </c>
      <c r="H40" s="72" t="s">
        <v>69</v>
      </c>
      <c r="I40" s="40">
        <v>976.87</v>
      </c>
      <c r="J40" s="40">
        <v>11486.679999999998</v>
      </c>
      <c r="K40" s="40">
        <v>8727.8264799999997</v>
      </c>
      <c r="L40" s="40">
        <f t="shared" si="8"/>
        <v>540688.85043600004</v>
      </c>
    </row>
    <row r="41" spans="1:14" s="14" customFormat="1" x14ac:dyDescent="0.3">
      <c r="A41" s="72" t="s">
        <v>70</v>
      </c>
      <c r="B41" s="40">
        <f>Base!B38-'DoubleCircuit_MLTS-BATS'!I41</f>
        <v>146.47000000000003</v>
      </c>
      <c r="C41" s="40">
        <f>Base!C38-'DoubleCircuit_MLTS-BATS'!J41</f>
        <v>444.5099999999984</v>
      </c>
      <c r="D41" s="40">
        <f>Base!D38-'DoubleCircuit_MLTS-BATS'!K41</f>
        <v>210.06240000000071</v>
      </c>
      <c r="E41" s="2" t="str">
        <f t="shared" si="6"/>
        <v>Y</v>
      </c>
      <c r="F41" s="52">
        <f t="shared" si="7"/>
        <v>13013.365680000044</v>
      </c>
      <c r="H41" s="72" t="s">
        <v>70</v>
      </c>
      <c r="I41" s="40">
        <v>1069.8799999999999</v>
      </c>
      <c r="J41" s="40">
        <v>12664.720000000001</v>
      </c>
      <c r="K41" s="40">
        <v>9260.3891199999998</v>
      </c>
      <c r="L41" s="40">
        <f t="shared" si="8"/>
        <v>573681.10598400002</v>
      </c>
    </row>
    <row r="42" spans="1:14" s="14" customFormat="1" x14ac:dyDescent="0.3">
      <c r="A42" s="72" t="s">
        <v>71</v>
      </c>
      <c r="B42" s="40">
        <f>Base!B39-'DoubleCircuit_MLTS-BATS'!I42</f>
        <v>-32.889999999999873</v>
      </c>
      <c r="C42" s="40">
        <f>Base!C39-'DoubleCircuit_MLTS-BATS'!J42</f>
        <v>386.99999999999636</v>
      </c>
      <c r="D42" s="40">
        <f>Base!D39-'DoubleCircuit_MLTS-BATS'!K42</f>
        <v>217.11335999999756</v>
      </c>
      <c r="E42" s="2" t="str">
        <f t="shared" si="6"/>
        <v>Y</v>
      </c>
      <c r="F42" s="52">
        <f t="shared" si="7"/>
        <v>13450.172651999848</v>
      </c>
      <c r="H42" s="72" t="s">
        <v>71</v>
      </c>
      <c r="I42" s="40">
        <v>1305.0999999999999</v>
      </c>
      <c r="J42" s="40">
        <v>14085.410000000002</v>
      </c>
      <c r="K42" s="40">
        <v>9787.7074400000001</v>
      </c>
      <c r="L42" s="40">
        <f t="shared" si="8"/>
        <v>606348.47590800002</v>
      </c>
    </row>
    <row r="43" spans="1:14" s="14" customFormat="1" x14ac:dyDescent="0.3">
      <c r="A43" s="72" t="s">
        <v>72</v>
      </c>
      <c r="B43" s="40">
        <f>Base!B40-'DoubleCircuit_MLTS-BATS'!I43</f>
        <v>57.230000000000018</v>
      </c>
      <c r="C43" s="40">
        <f>Base!C40-'DoubleCircuit_MLTS-BATS'!J43</f>
        <v>398.97000000000116</v>
      </c>
      <c r="D43" s="40">
        <f>Base!D40-'DoubleCircuit_MLTS-BATS'!K43</f>
        <v>275.01936000000205</v>
      </c>
      <c r="E43" s="2" t="str">
        <f t="shared" si="6"/>
        <v>Y</v>
      </c>
      <c r="F43" s="52">
        <f t="shared" si="7"/>
        <v>17037.449352000127</v>
      </c>
      <c r="H43" s="72" t="s">
        <v>72</v>
      </c>
      <c r="I43" s="40">
        <v>1251.7</v>
      </c>
      <c r="J43" s="40">
        <v>15202.299999999997</v>
      </c>
      <c r="K43" s="40">
        <v>9990.3596799999978</v>
      </c>
      <c r="L43" s="40">
        <f t="shared" si="8"/>
        <v>618902.78217599983</v>
      </c>
    </row>
    <row r="44" spans="1:14" s="14" customFormat="1" x14ac:dyDescent="0.3">
      <c r="A44" s="72" t="s">
        <v>73</v>
      </c>
      <c r="B44" s="40">
        <f>Base!B41-'DoubleCircuit_MLTS-BATS'!I44</f>
        <v>-124.69000000000051</v>
      </c>
      <c r="C44" s="40">
        <f>Base!C41-'DoubleCircuit_MLTS-BATS'!J44</f>
        <v>111.36999999999898</v>
      </c>
      <c r="D44" s="40">
        <f>Base!D41-'DoubleCircuit_MLTS-BATS'!K44</f>
        <v>144.02632000000085</v>
      </c>
      <c r="E44" s="2" t="str">
        <f t="shared" si="6"/>
        <v>Y</v>
      </c>
      <c r="F44" s="52">
        <f t="shared" si="7"/>
        <v>8922.430524000054</v>
      </c>
      <c r="H44" s="72" t="s">
        <v>73</v>
      </c>
      <c r="I44" s="40">
        <v>1557.9700000000003</v>
      </c>
      <c r="J44" s="40">
        <v>17952.150000000001</v>
      </c>
      <c r="K44" s="40">
        <v>11152.884239999999</v>
      </c>
      <c r="L44" s="40">
        <f t="shared" si="8"/>
        <v>690921.17866800004</v>
      </c>
    </row>
    <row r="45" spans="1:14" s="14" customFormat="1" ht="15" thickBot="1" x14ac:dyDescent="0.35">
      <c r="E45" s="60">
        <f>COUNTIF(E35:E44,"Y")</f>
        <v>10</v>
      </c>
      <c r="F45" s="62">
        <f>-PV($G$6,$G$7-7,F44)</f>
        <v>85382.595358252802</v>
      </c>
      <c r="G45" s="55" t="s">
        <v>11</v>
      </c>
    </row>
    <row r="46" spans="1:14" s="14" customFormat="1" ht="15" thickTop="1" x14ac:dyDescent="0.3"/>
    <row r="47" spans="1:14" s="14" customFormat="1" ht="15.6" x14ac:dyDescent="0.3">
      <c r="A47" s="409" t="s">
        <v>56</v>
      </c>
      <c r="B47" s="410"/>
      <c r="C47" s="410"/>
      <c r="D47" s="410"/>
      <c r="E47" s="410"/>
      <c r="F47" s="411"/>
      <c r="H47" s="406" t="s">
        <v>60</v>
      </c>
      <c r="I47" s="406"/>
      <c r="J47" s="406"/>
      <c r="K47" s="406"/>
      <c r="L47" s="406"/>
    </row>
    <row r="48" spans="1:14" s="14" customFormat="1" ht="43.2" x14ac:dyDescent="0.3">
      <c r="A48" s="1" t="s">
        <v>5</v>
      </c>
      <c r="B48" s="51" t="s">
        <v>151</v>
      </c>
      <c r="C48" s="51" t="s">
        <v>152</v>
      </c>
      <c r="D48" s="51" t="s">
        <v>153</v>
      </c>
      <c r="E48" s="51" t="s">
        <v>12</v>
      </c>
      <c r="F48" s="51" t="s">
        <v>58</v>
      </c>
      <c r="H48" s="94" t="s">
        <v>5</v>
      </c>
      <c r="I48" s="51" t="s">
        <v>75</v>
      </c>
      <c r="J48" s="51" t="s">
        <v>51</v>
      </c>
      <c r="K48" s="50" t="s">
        <v>0</v>
      </c>
      <c r="L48" s="51" t="s">
        <v>58</v>
      </c>
    </row>
    <row r="49" spans="1:12" s="14" customFormat="1" x14ac:dyDescent="0.3">
      <c r="A49" s="72" t="s">
        <v>64</v>
      </c>
      <c r="B49" s="40">
        <f>Base!B46-'DoubleCircuit_MLTS-BATS'!I49</f>
        <v>161.38999999999999</v>
      </c>
      <c r="C49" s="40">
        <f>Base!C46-'DoubleCircuit_MLTS-BATS'!J49</f>
        <v>1012.5000000000036</v>
      </c>
      <c r="D49" s="40">
        <f>Base!D46-'DoubleCircuit_MLTS-BATS'!K49</f>
        <v>554.28840000000127</v>
      </c>
      <c r="E49" s="2" t="str">
        <f>E35</f>
        <v>Y</v>
      </c>
      <c r="F49" s="52">
        <f t="shared" ref="F49:F58" si="9">IF(E49="Y",D49*$G$5,-D49*$G$5)</f>
        <v>34338.166380000082</v>
      </c>
      <c r="H49" s="72" t="s">
        <v>64</v>
      </c>
      <c r="I49" s="40">
        <v>642.59</v>
      </c>
      <c r="J49" s="40">
        <v>9233.7099999999991</v>
      </c>
      <c r="K49" s="40">
        <v>7533.2984799999995</v>
      </c>
      <c r="L49" s="40">
        <f t="shared" ref="L49:L58" si="10">K49*$G$5</f>
        <v>466687.84083599999</v>
      </c>
    </row>
    <row r="50" spans="1:12" s="14" customFormat="1" x14ac:dyDescent="0.3">
      <c r="A50" s="72" t="s">
        <v>65</v>
      </c>
      <c r="B50" s="40">
        <f>Base!B47-'DoubleCircuit_MLTS-BATS'!I50</f>
        <v>170.01999999999998</v>
      </c>
      <c r="C50" s="40">
        <f>Base!C47-'DoubleCircuit_MLTS-BATS'!J50</f>
        <v>889.20000000000073</v>
      </c>
      <c r="D50" s="40">
        <f>Base!D47-'DoubleCircuit_MLTS-BATS'!K50</f>
        <v>465.92759999999907</v>
      </c>
      <c r="E50" s="2" t="str">
        <f t="shared" ref="E50:E58" si="11">E36</f>
        <v>Y</v>
      </c>
      <c r="F50" s="52">
        <f t="shared" si="9"/>
        <v>28864.214819999943</v>
      </c>
      <c r="H50" s="72" t="s">
        <v>65</v>
      </c>
      <c r="I50" s="40">
        <v>681.12000000000012</v>
      </c>
      <c r="J50" s="40">
        <v>9431.4599999999991</v>
      </c>
      <c r="K50" s="40">
        <v>7583.4129599999997</v>
      </c>
      <c r="L50" s="40">
        <f t="shared" si="10"/>
        <v>469792.43287199998</v>
      </c>
    </row>
    <row r="51" spans="1:12" s="14" customFormat="1" x14ac:dyDescent="0.3">
      <c r="A51" s="72" t="s">
        <v>66</v>
      </c>
      <c r="B51" s="40">
        <f>Base!B48-'DoubleCircuit_MLTS-BATS'!I51</f>
        <v>191.97000000000014</v>
      </c>
      <c r="C51" s="40">
        <f>Base!C48-'DoubleCircuit_MLTS-BATS'!J51</f>
        <v>905.79000000000087</v>
      </c>
      <c r="D51" s="40">
        <f>Base!D48-'DoubleCircuit_MLTS-BATS'!K51</f>
        <v>478.53647999999885</v>
      </c>
      <c r="E51" s="2" t="str">
        <f t="shared" si="11"/>
        <v>Y</v>
      </c>
      <c r="F51" s="52">
        <f t="shared" si="9"/>
        <v>29645.33493599993</v>
      </c>
      <c r="H51" s="72" t="s">
        <v>66</v>
      </c>
      <c r="I51" s="40">
        <v>747.37</v>
      </c>
      <c r="J51" s="40">
        <v>9961.1500000000015</v>
      </c>
      <c r="K51" s="40">
        <v>7910.372080000001</v>
      </c>
      <c r="L51" s="40">
        <f t="shared" si="10"/>
        <v>490047.55035600008</v>
      </c>
    </row>
    <row r="52" spans="1:12" s="14" customFormat="1" x14ac:dyDescent="0.3">
      <c r="A52" s="72" t="s">
        <v>67</v>
      </c>
      <c r="B52" s="40">
        <f>Base!B49-'DoubleCircuit_MLTS-BATS'!I52</f>
        <v>215.4799999999999</v>
      </c>
      <c r="C52" s="40">
        <f>Base!C49-'DoubleCircuit_MLTS-BATS'!J52</f>
        <v>1043.3900000000012</v>
      </c>
      <c r="D52" s="40">
        <f>Base!D49-'DoubleCircuit_MLTS-BATS'!K52</f>
        <v>558.4311200000011</v>
      </c>
      <c r="E52" s="2" t="str">
        <f t="shared" si="11"/>
        <v>Y</v>
      </c>
      <c r="F52" s="52">
        <f t="shared" si="9"/>
        <v>34594.807884000067</v>
      </c>
      <c r="H52" s="72" t="s">
        <v>67</v>
      </c>
      <c r="I52" s="40">
        <v>840.7700000000001</v>
      </c>
      <c r="J52" s="40">
        <v>10652.69</v>
      </c>
      <c r="K52" s="40">
        <v>8327.3331199999993</v>
      </c>
      <c r="L52" s="40">
        <f t="shared" si="10"/>
        <v>515878.286784</v>
      </c>
    </row>
    <row r="53" spans="1:12" s="14" customFormat="1" x14ac:dyDescent="0.3">
      <c r="A53" s="72" t="s">
        <v>68</v>
      </c>
      <c r="B53" s="40">
        <f>Base!B50-'DoubleCircuit_MLTS-BATS'!I53</f>
        <v>87.2800000000002</v>
      </c>
      <c r="C53" s="40">
        <f>Base!C50-'DoubleCircuit_MLTS-BATS'!J53</f>
        <v>1112.3499999999985</v>
      </c>
      <c r="D53" s="40">
        <f>Base!D50-'DoubleCircuit_MLTS-BATS'!K53</f>
        <v>566.80431999999928</v>
      </c>
      <c r="E53" s="2" t="str">
        <f t="shared" si="11"/>
        <v>Y</v>
      </c>
      <c r="F53" s="52">
        <f t="shared" si="9"/>
        <v>35113.527623999958</v>
      </c>
      <c r="H53" s="72" t="s">
        <v>68</v>
      </c>
      <c r="I53" s="40">
        <v>1068.32</v>
      </c>
      <c r="J53" s="40">
        <v>11380.15</v>
      </c>
      <c r="K53" s="40">
        <v>8743.7785599999988</v>
      </c>
      <c r="L53" s="40">
        <f t="shared" si="10"/>
        <v>541677.08179199998</v>
      </c>
    </row>
    <row r="54" spans="1:12" s="14" customFormat="1" x14ac:dyDescent="0.3">
      <c r="A54" s="72" t="s">
        <v>69</v>
      </c>
      <c r="B54" s="40">
        <f>Base!B51-'DoubleCircuit_MLTS-BATS'!I54</f>
        <v>298.34999999999991</v>
      </c>
      <c r="C54" s="40">
        <f>Base!C51-'DoubleCircuit_MLTS-BATS'!J54</f>
        <v>1271.8899999999994</v>
      </c>
      <c r="D54" s="40">
        <f>Base!D51-'DoubleCircuit_MLTS-BATS'!K54</f>
        <v>569.16663999999946</v>
      </c>
      <c r="E54" s="2" t="str">
        <f t="shared" si="11"/>
        <v>Y</v>
      </c>
      <c r="F54" s="52">
        <f t="shared" si="9"/>
        <v>35259.873347999965</v>
      </c>
      <c r="H54" s="72" t="s">
        <v>69</v>
      </c>
      <c r="I54" s="40">
        <v>1085.0600000000002</v>
      </c>
      <c r="J54" s="40">
        <v>12036.5</v>
      </c>
      <c r="K54" s="40">
        <v>9238.8027199999997</v>
      </c>
      <c r="L54" s="40">
        <f t="shared" si="10"/>
        <v>572343.82850399998</v>
      </c>
    </row>
    <row r="55" spans="1:12" s="14" customFormat="1" x14ac:dyDescent="0.3">
      <c r="A55" s="72" t="s">
        <v>70</v>
      </c>
      <c r="B55" s="40">
        <f>Base!B52-'DoubleCircuit_MLTS-BATS'!I55</f>
        <v>120.42000000000007</v>
      </c>
      <c r="C55" s="40">
        <f>Base!C52-'DoubleCircuit_MLTS-BATS'!J55</f>
        <v>1403.239999999998</v>
      </c>
      <c r="D55" s="40">
        <f>Base!D52-'DoubleCircuit_MLTS-BATS'!K55</f>
        <v>787.53751999999986</v>
      </c>
      <c r="E55" s="2" t="str">
        <f t="shared" si="11"/>
        <v>Y</v>
      </c>
      <c r="F55" s="52">
        <f t="shared" si="9"/>
        <v>48787.949363999993</v>
      </c>
      <c r="H55" s="72" t="s">
        <v>70</v>
      </c>
      <c r="I55" s="40">
        <v>1283.3399999999999</v>
      </c>
      <c r="J55" s="40">
        <v>13274.729999999998</v>
      </c>
      <c r="K55" s="40">
        <v>9607.039679999998</v>
      </c>
      <c r="L55" s="40">
        <f t="shared" si="10"/>
        <v>595156.10817599995</v>
      </c>
    </row>
    <row r="56" spans="1:12" s="14" customFormat="1" x14ac:dyDescent="0.3">
      <c r="A56" s="72" t="s">
        <v>71</v>
      </c>
      <c r="B56" s="40">
        <f>Base!B53-'DoubleCircuit_MLTS-BATS'!I56</f>
        <v>-76.470000000000027</v>
      </c>
      <c r="C56" s="40">
        <f>Base!C53-'DoubleCircuit_MLTS-BATS'!J56</f>
        <v>1469.5799999999963</v>
      </c>
      <c r="D56" s="40">
        <f>Base!D53-'DoubleCircuit_MLTS-BATS'!K56</f>
        <v>878.97527999999875</v>
      </c>
      <c r="E56" s="2" t="str">
        <f t="shared" si="11"/>
        <v>Y</v>
      </c>
      <c r="F56" s="52">
        <f t="shared" si="9"/>
        <v>54452.518595999922</v>
      </c>
      <c r="H56" s="72" t="s">
        <v>71</v>
      </c>
      <c r="I56" s="40">
        <v>1517.98</v>
      </c>
      <c r="J56" s="40">
        <v>15047.800000000001</v>
      </c>
      <c r="K56" s="40">
        <v>10237.0828</v>
      </c>
      <c r="L56" s="40">
        <f t="shared" si="10"/>
        <v>634187.27945999999</v>
      </c>
    </row>
    <row r="57" spans="1:12" s="14" customFormat="1" x14ac:dyDescent="0.3">
      <c r="A57" s="72" t="s">
        <v>72</v>
      </c>
      <c r="B57" s="40">
        <f>Base!B54-'DoubleCircuit_MLTS-BATS'!I57</f>
        <v>-85.499999999999545</v>
      </c>
      <c r="C57" s="40">
        <f>Base!C54-'DoubleCircuit_MLTS-BATS'!J57</f>
        <v>1746.6600000000071</v>
      </c>
      <c r="D57" s="40">
        <f>Base!D54-'DoubleCircuit_MLTS-BATS'!K57</f>
        <v>894.39408000000185</v>
      </c>
      <c r="E57" s="2" t="str">
        <f t="shared" si="11"/>
        <v>Y</v>
      </c>
      <c r="F57" s="52">
        <f t="shared" si="9"/>
        <v>55407.713256000119</v>
      </c>
      <c r="H57" s="72" t="s">
        <v>72</v>
      </c>
      <c r="I57" s="40">
        <v>1751.3999999999996</v>
      </c>
      <c r="J57" s="40">
        <v>17418.569999999996</v>
      </c>
      <c r="K57" s="40">
        <v>11419.808639999997</v>
      </c>
      <c r="L57" s="40">
        <f t="shared" si="10"/>
        <v>707457.14524799993</v>
      </c>
    </row>
    <row r="58" spans="1:12" s="14" customFormat="1" x14ac:dyDescent="0.3">
      <c r="A58" s="72" t="s">
        <v>73</v>
      </c>
      <c r="B58" s="40">
        <f>Base!B55-'DoubleCircuit_MLTS-BATS'!I58</f>
        <v>12.289999999999736</v>
      </c>
      <c r="C58" s="40">
        <f>Base!C55-'DoubleCircuit_MLTS-BATS'!J58</f>
        <v>2103.830000000009</v>
      </c>
      <c r="D58" s="40">
        <f>Base!D55-'DoubleCircuit_MLTS-BATS'!K58</f>
        <v>1023.2552000000032</v>
      </c>
      <c r="E58" s="2" t="str">
        <f t="shared" si="11"/>
        <v>Y</v>
      </c>
      <c r="F58" s="52">
        <f t="shared" si="9"/>
        <v>63390.659640000202</v>
      </c>
      <c r="H58" s="72" t="s">
        <v>73</v>
      </c>
      <c r="I58" s="40">
        <v>1937.5400000000002</v>
      </c>
      <c r="J58" s="40">
        <v>21053.209999999992</v>
      </c>
      <c r="K58" s="40">
        <v>12969.072559999997</v>
      </c>
      <c r="L58" s="40">
        <f t="shared" si="10"/>
        <v>803434.04509199981</v>
      </c>
    </row>
    <row r="59" spans="1:12" s="14" customFormat="1" ht="15" thickBot="1" x14ac:dyDescent="0.35">
      <c r="E59" s="60">
        <f>COUNTIF(E49:E58,"Y")</f>
        <v>10</v>
      </c>
      <c r="F59" s="62">
        <f>-PV($G$6,$G$7-7,F58)</f>
        <v>606612.62948208197</v>
      </c>
      <c r="G59" s="55" t="s">
        <v>11</v>
      </c>
    </row>
    <row r="60" spans="1:12" s="14" customFormat="1" ht="15" thickTop="1" x14ac:dyDescent="0.3"/>
    <row r="61" spans="1:12" s="14" customFormat="1" ht="15.6" x14ac:dyDescent="0.3">
      <c r="A61" s="409" t="s">
        <v>55</v>
      </c>
      <c r="B61" s="410"/>
      <c r="C61" s="410"/>
      <c r="D61" s="410"/>
      <c r="E61" s="410"/>
      <c r="F61" s="411"/>
      <c r="H61" s="406" t="s">
        <v>61</v>
      </c>
      <c r="I61" s="406"/>
      <c r="J61" s="406"/>
      <c r="K61" s="406"/>
      <c r="L61" s="406"/>
    </row>
    <row r="62" spans="1:12" s="14" customFormat="1" ht="43.2" x14ac:dyDescent="0.3">
      <c r="A62" s="1" t="s">
        <v>5</v>
      </c>
      <c r="B62" s="51" t="s">
        <v>151</v>
      </c>
      <c r="C62" s="51" t="s">
        <v>152</v>
      </c>
      <c r="D62" s="51" t="s">
        <v>153</v>
      </c>
      <c r="E62" s="51" t="s">
        <v>12</v>
      </c>
      <c r="F62" s="51" t="s">
        <v>58</v>
      </c>
      <c r="H62" s="94" t="s">
        <v>5</v>
      </c>
      <c r="I62" s="51" t="s">
        <v>75</v>
      </c>
      <c r="J62" s="51" t="s">
        <v>51</v>
      </c>
      <c r="K62" s="50" t="s">
        <v>0</v>
      </c>
      <c r="L62" s="51" t="s">
        <v>58</v>
      </c>
    </row>
    <row r="63" spans="1:12" s="14" customFormat="1" x14ac:dyDescent="0.3">
      <c r="A63" s="72" t="s">
        <v>64</v>
      </c>
      <c r="B63" s="40">
        <f>Base!B60-'DoubleCircuit_MLTS-BATS'!I63</f>
        <v>194.7299999999999</v>
      </c>
      <c r="C63" s="40">
        <f>Base!C60-'DoubleCircuit_MLTS-BATS'!J63</f>
        <v>1122.6699999999983</v>
      </c>
      <c r="D63" s="40">
        <f>Base!D60-'DoubleCircuit_MLTS-BATS'!K63</f>
        <v>727.16800000000057</v>
      </c>
      <c r="E63" s="2" t="str">
        <f>E35</f>
        <v>Y</v>
      </c>
      <c r="F63" s="52">
        <f t="shared" ref="F63:F72" si="12">IF(E63="Y",D63*$G$5,-D63*$G$5)</f>
        <v>45048.057600000036</v>
      </c>
      <c r="H63" s="72" t="s">
        <v>64</v>
      </c>
      <c r="I63" s="40">
        <v>571.75</v>
      </c>
      <c r="J63" s="40">
        <v>8815.4100000000017</v>
      </c>
      <c r="K63" s="40">
        <v>7181.4803999999995</v>
      </c>
      <c r="L63" s="40">
        <f t="shared" ref="L63:L72" si="13">K63*$G$5</f>
        <v>444892.71077999996</v>
      </c>
    </row>
    <row r="64" spans="1:12" s="14" customFormat="1" x14ac:dyDescent="0.3">
      <c r="A64" s="72" t="s">
        <v>65</v>
      </c>
      <c r="B64" s="40">
        <f>Base!B61-'DoubleCircuit_MLTS-BATS'!I64</f>
        <v>209.14</v>
      </c>
      <c r="C64" s="40">
        <f>Base!C61-'DoubleCircuit_MLTS-BATS'!J64</f>
        <v>876.44000000000051</v>
      </c>
      <c r="D64" s="40">
        <f>Base!D61-'DoubleCircuit_MLTS-BATS'!K64</f>
        <v>596.23039999999946</v>
      </c>
      <c r="E64" s="2" t="str">
        <f t="shared" ref="E64:E72" si="14">E36</f>
        <v>Y</v>
      </c>
      <c r="F64" s="52">
        <f t="shared" si="12"/>
        <v>36936.473279999969</v>
      </c>
      <c r="H64" s="72" t="s">
        <v>65</v>
      </c>
      <c r="I64" s="40">
        <v>590.4</v>
      </c>
      <c r="J64" s="40">
        <v>8936.9699999999993</v>
      </c>
      <c r="K64" s="40">
        <v>7234.2060000000001</v>
      </c>
      <c r="L64" s="40">
        <f t="shared" si="13"/>
        <v>448159.06170000002</v>
      </c>
    </row>
    <row r="65" spans="1:15" s="14" customFormat="1" x14ac:dyDescent="0.3">
      <c r="A65" s="72" t="s">
        <v>66</v>
      </c>
      <c r="B65" s="40">
        <f>Base!B62-'DoubleCircuit_MLTS-BATS'!I65</f>
        <v>221.36000000000013</v>
      </c>
      <c r="C65" s="40">
        <f>Base!C62-'DoubleCircuit_MLTS-BATS'!J65</f>
        <v>756.51000000000022</v>
      </c>
      <c r="D65" s="40">
        <f>Base!D62-'DoubleCircuit_MLTS-BATS'!K65</f>
        <v>540.24192000000039</v>
      </c>
      <c r="E65" s="2" t="str">
        <f t="shared" si="14"/>
        <v>Y</v>
      </c>
      <c r="F65" s="52">
        <f t="shared" si="12"/>
        <v>33467.986944000026</v>
      </c>
      <c r="H65" s="72" t="s">
        <v>66</v>
      </c>
      <c r="I65" s="40">
        <v>604.04999999999995</v>
      </c>
      <c r="J65" s="40">
        <v>9091.1</v>
      </c>
      <c r="K65" s="40">
        <v>7346.9796800000004</v>
      </c>
      <c r="L65" s="40">
        <f t="shared" si="13"/>
        <v>455145.39117600006</v>
      </c>
    </row>
    <row r="66" spans="1:15" s="14" customFormat="1" x14ac:dyDescent="0.3">
      <c r="A66" s="72" t="s">
        <v>67</v>
      </c>
      <c r="B66" s="40">
        <f>Base!B63-'DoubleCircuit_MLTS-BATS'!I66</f>
        <v>248.82999999999993</v>
      </c>
      <c r="C66" s="40">
        <f>Base!C63-'DoubleCircuit_MLTS-BATS'!J66</f>
        <v>933.8600000000024</v>
      </c>
      <c r="D66" s="40">
        <f>Base!D63-'DoubleCircuit_MLTS-BATS'!K66</f>
        <v>672.33800000000065</v>
      </c>
      <c r="E66" s="2" t="str">
        <f t="shared" si="14"/>
        <v>Y</v>
      </c>
      <c r="F66" s="52">
        <f t="shared" si="12"/>
        <v>41651.339100000041</v>
      </c>
      <c r="H66" s="72" t="s">
        <v>67</v>
      </c>
      <c r="I66" s="40">
        <v>604.06000000000006</v>
      </c>
      <c r="J66" s="40">
        <v>9018.36</v>
      </c>
      <c r="K66" s="40">
        <v>7276.0144799999998</v>
      </c>
      <c r="L66" s="40">
        <f t="shared" si="13"/>
        <v>450749.09703599999</v>
      </c>
    </row>
    <row r="67" spans="1:15" s="14" customFormat="1" x14ac:dyDescent="0.3">
      <c r="A67" s="72" t="s">
        <v>68</v>
      </c>
      <c r="B67" s="40">
        <f>Base!B64-'DoubleCircuit_MLTS-BATS'!I67</f>
        <v>297.0100000000001</v>
      </c>
      <c r="C67" s="40">
        <f>Base!C64-'DoubleCircuit_MLTS-BATS'!J67</f>
        <v>986.1200000000008</v>
      </c>
      <c r="D67" s="40">
        <f>Base!D64-'DoubleCircuit_MLTS-BATS'!K67</f>
        <v>718.04863999999816</v>
      </c>
      <c r="E67" s="2" t="str">
        <f t="shared" si="14"/>
        <v>Y</v>
      </c>
      <c r="F67" s="52">
        <f t="shared" si="12"/>
        <v>44483.113247999885</v>
      </c>
      <c r="H67" s="72" t="s">
        <v>68</v>
      </c>
      <c r="I67" s="40">
        <v>668.69</v>
      </c>
      <c r="J67" s="40">
        <v>9261.52</v>
      </c>
      <c r="K67" s="40">
        <v>7369.4440000000004</v>
      </c>
      <c r="L67" s="40">
        <f t="shared" si="13"/>
        <v>456537.05580000003</v>
      </c>
    </row>
    <row r="68" spans="1:15" s="14" customFormat="1" x14ac:dyDescent="0.3">
      <c r="A68" s="72" t="s">
        <v>69</v>
      </c>
      <c r="B68" s="40">
        <f>Base!B65-'DoubleCircuit_MLTS-BATS'!I68</f>
        <v>304.93999999999983</v>
      </c>
      <c r="C68" s="40">
        <f>Base!C65-'DoubleCircuit_MLTS-BATS'!J68</f>
        <v>1048.2299999999996</v>
      </c>
      <c r="D68" s="40">
        <f>Base!D65-'DoubleCircuit_MLTS-BATS'!K68</f>
        <v>805.79927999999836</v>
      </c>
      <c r="E68" s="2" t="str">
        <f t="shared" si="14"/>
        <v>Y</v>
      </c>
      <c r="F68" s="52">
        <f t="shared" si="12"/>
        <v>49919.265395999901</v>
      </c>
      <c r="H68" s="72" t="s">
        <v>69</v>
      </c>
      <c r="I68" s="40">
        <v>701.44</v>
      </c>
      <c r="J68" s="40">
        <v>9474.7100000000009</v>
      </c>
      <c r="K68" s="40">
        <v>7489.3282399999998</v>
      </c>
      <c r="L68" s="40">
        <f t="shared" si="13"/>
        <v>463963.88446800003</v>
      </c>
    </row>
    <row r="69" spans="1:15" s="14" customFormat="1" x14ac:dyDescent="0.3">
      <c r="A69" s="72" t="s">
        <v>70</v>
      </c>
      <c r="B69" s="40">
        <f>Base!B66-'DoubleCircuit_MLTS-BATS'!I69</f>
        <v>286.62000000000012</v>
      </c>
      <c r="C69" s="40">
        <f>Base!C66-'DoubleCircuit_MLTS-BATS'!J69</f>
        <v>1089.5000000000018</v>
      </c>
      <c r="D69" s="40">
        <f>Base!D66-'DoubleCircuit_MLTS-BATS'!K69</f>
        <v>827.51167999999961</v>
      </c>
      <c r="E69" s="2" t="str">
        <f t="shared" si="14"/>
        <v>Y</v>
      </c>
      <c r="F69" s="52">
        <f t="shared" si="12"/>
        <v>51264.348575999975</v>
      </c>
      <c r="H69" s="72" t="s">
        <v>70</v>
      </c>
      <c r="I69" s="40">
        <v>780.94</v>
      </c>
      <c r="J69" s="40">
        <v>9955.239999999998</v>
      </c>
      <c r="K69" s="40">
        <v>7703.4224799999993</v>
      </c>
      <c r="L69" s="40">
        <f t="shared" si="13"/>
        <v>477227.02263599995</v>
      </c>
    </row>
    <row r="70" spans="1:15" s="14" customFormat="1" x14ac:dyDescent="0.3">
      <c r="A70" s="72" t="s">
        <v>71</v>
      </c>
      <c r="B70" s="40">
        <f>Base!B67-'DoubleCircuit_MLTS-BATS'!I70</f>
        <v>289.52999999999986</v>
      </c>
      <c r="C70" s="40">
        <f>Base!C67-'DoubleCircuit_MLTS-BATS'!J70</f>
        <v>1110.8599999999988</v>
      </c>
      <c r="D70" s="40">
        <f>Base!D67-'DoubleCircuit_MLTS-BATS'!K70</f>
        <v>851.71831999999904</v>
      </c>
      <c r="E70" s="2" t="str">
        <f t="shared" si="14"/>
        <v>Y</v>
      </c>
      <c r="F70" s="52">
        <f t="shared" si="12"/>
        <v>52763.949923999942</v>
      </c>
      <c r="H70" s="72" t="s">
        <v>71</v>
      </c>
      <c r="I70" s="40">
        <v>809.59</v>
      </c>
      <c r="J70" s="40">
        <v>10423.750000000002</v>
      </c>
      <c r="K70" s="40">
        <v>7912.4288800000004</v>
      </c>
      <c r="L70" s="40">
        <f t="shared" si="13"/>
        <v>490174.96911600005</v>
      </c>
    </row>
    <row r="71" spans="1:15" s="14" customFormat="1" x14ac:dyDescent="0.3">
      <c r="A71" s="72" t="s">
        <v>72</v>
      </c>
      <c r="B71" s="40">
        <f>Base!B68-'DoubleCircuit_MLTS-BATS'!I71</f>
        <v>259.0300000000002</v>
      </c>
      <c r="C71" s="40">
        <f>Base!C68-'DoubleCircuit_MLTS-BATS'!J71</f>
        <v>986.20000000000073</v>
      </c>
      <c r="D71" s="40">
        <f>Base!D68-'DoubleCircuit_MLTS-BATS'!K71</f>
        <v>756.54087999999956</v>
      </c>
      <c r="E71" s="2" t="str">
        <f t="shared" si="14"/>
        <v>Y</v>
      </c>
      <c r="F71" s="52">
        <f t="shared" si="12"/>
        <v>46867.707515999973</v>
      </c>
      <c r="H71" s="72" t="s">
        <v>72</v>
      </c>
      <c r="I71" s="40">
        <v>784.05</v>
      </c>
      <c r="J71" s="40">
        <v>10504.639999999998</v>
      </c>
      <c r="K71" s="40">
        <v>7810.4100799999987</v>
      </c>
      <c r="L71" s="40">
        <f t="shared" si="13"/>
        <v>483854.90445599996</v>
      </c>
    </row>
    <row r="72" spans="1:15" s="14" customFormat="1" x14ac:dyDescent="0.3">
      <c r="A72" s="72" t="s">
        <v>73</v>
      </c>
      <c r="B72" s="40">
        <f>Base!B69-'DoubleCircuit_MLTS-BATS'!I72</f>
        <v>274.68000000000006</v>
      </c>
      <c r="C72" s="40">
        <f>Base!C69-'DoubleCircuit_MLTS-BATS'!J72</f>
        <v>1115.3000000000011</v>
      </c>
      <c r="D72" s="40">
        <f>Base!D69-'DoubleCircuit_MLTS-BATS'!K72</f>
        <v>819.0545600000014</v>
      </c>
      <c r="E72" s="2" t="str">
        <f t="shared" si="14"/>
        <v>Y</v>
      </c>
      <c r="F72" s="52">
        <f t="shared" si="12"/>
        <v>50740.429992000092</v>
      </c>
      <c r="H72" s="72" t="s">
        <v>73</v>
      </c>
      <c r="I72" s="40">
        <v>809.44</v>
      </c>
      <c r="J72" s="40">
        <v>11387.229999999998</v>
      </c>
      <c r="K72" s="40">
        <v>8119.1341599999987</v>
      </c>
      <c r="L72" s="40">
        <f t="shared" si="13"/>
        <v>502980.36121199996</v>
      </c>
    </row>
    <row r="73" spans="1:15" s="14" customFormat="1" ht="15" thickBot="1" x14ac:dyDescent="0.35">
      <c r="E73" s="60">
        <f>COUNTIF(E63:E72,"Y")</f>
        <v>10</v>
      </c>
      <c r="F73" s="62">
        <f>-PV($G$6,$G$7-7,F72)</f>
        <v>485557.11256672733</v>
      </c>
      <c r="G73" s="55" t="s">
        <v>11</v>
      </c>
    </row>
    <row r="74" spans="1:15" s="14" customFormat="1" ht="15" thickTop="1" x14ac:dyDescent="0.3"/>
    <row r="75" spans="1:15" s="14" customFormat="1" ht="15.6" x14ac:dyDescent="0.3">
      <c r="A75" s="409" t="s">
        <v>54</v>
      </c>
      <c r="B75" s="410"/>
      <c r="C75" s="410"/>
      <c r="D75" s="410"/>
      <c r="E75" s="410"/>
      <c r="F75" s="411"/>
      <c r="H75" s="406" t="s">
        <v>62</v>
      </c>
      <c r="I75" s="406"/>
      <c r="J75" s="406"/>
      <c r="K75" s="406"/>
      <c r="L75" s="406"/>
    </row>
    <row r="76" spans="1:15" s="14" customFormat="1" ht="43.2" x14ac:dyDescent="0.3">
      <c r="A76" s="1" t="s">
        <v>5</v>
      </c>
      <c r="B76" s="51" t="s">
        <v>151</v>
      </c>
      <c r="C76" s="51" t="s">
        <v>152</v>
      </c>
      <c r="D76" s="51" t="s">
        <v>153</v>
      </c>
      <c r="E76" s="51" t="s">
        <v>12</v>
      </c>
      <c r="F76" s="51" t="s">
        <v>58</v>
      </c>
      <c r="H76" s="94" t="s">
        <v>5</v>
      </c>
      <c r="I76" s="51" t="s">
        <v>75</v>
      </c>
      <c r="J76" s="51" t="s">
        <v>51</v>
      </c>
      <c r="K76" s="50" t="s">
        <v>0</v>
      </c>
      <c r="L76" s="51" t="s">
        <v>58</v>
      </c>
    </row>
    <row r="77" spans="1:15" s="14" customFormat="1" x14ac:dyDescent="0.3">
      <c r="A77" s="72" t="s">
        <v>64</v>
      </c>
      <c r="B77" s="40">
        <f>Base!B74-'DoubleCircuit_MLTS-BATS'!I77</f>
        <v>154.15999999999997</v>
      </c>
      <c r="C77" s="40">
        <f>Base!C74-'DoubleCircuit_MLTS-BATS'!J77</f>
        <v>885.5</v>
      </c>
      <c r="D77" s="40">
        <f>Base!D74-'DoubleCircuit_MLTS-BATS'!K77</f>
        <v>481.91048000000046</v>
      </c>
      <c r="E77" s="2" t="str">
        <f>E35</f>
        <v>Y</v>
      </c>
      <c r="F77" s="52">
        <f t="shared" ref="F77:F86" si="15">IF(E77="Y",D77*$G$5,-D77*$G$5)</f>
        <v>29854.354236000028</v>
      </c>
      <c r="H77" s="72" t="s">
        <v>64</v>
      </c>
      <c r="I77" s="40">
        <v>612.31999999999994</v>
      </c>
      <c r="J77" s="40">
        <v>9052.58</v>
      </c>
      <c r="K77" s="40">
        <v>7426.7379199999996</v>
      </c>
      <c r="L77" s="40">
        <f t="shared" ref="L77:L86" si="16">K77*$G$5</f>
        <v>460086.41414399998</v>
      </c>
    </row>
    <row r="78" spans="1:15" s="14" customFormat="1" x14ac:dyDescent="0.3">
      <c r="A78" s="72" t="s">
        <v>65</v>
      </c>
      <c r="B78" s="40">
        <f>Base!B75-'DoubleCircuit_MLTS-BATS'!I78</f>
        <v>156.80000000000007</v>
      </c>
      <c r="C78" s="40">
        <f>Base!C75-'DoubleCircuit_MLTS-BATS'!J78</f>
        <v>753.76999999999862</v>
      </c>
      <c r="D78" s="40">
        <f>Base!D75-'DoubleCircuit_MLTS-BATS'!K78</f>
        <v>387.57655999999952</v>
      </c>
      <c r="E78" s="2" t="str">
        <f t="shared" ref="E78:E86" si="17">E36</f>
        <v>Y</v>
      </c>
      <c r="F78" s="52">
        <f t="shared" si="15"/>
        <v>24010.367891999973</v>
      </c>
      <c r="H78" s="72" t="s">
        <v>65</v>
      </c>
      <c r="I78" s="40">
        <v>637.92999999999995</v>
      </c>
      <c r="J78" s="40">
        <v>9191.7800000000007</v>
      </c>
      <c r="K78" s="40">
        <v>7499.3028799999993</v>
      </c>
      <c r="L78" s="40">
        <f t="shared" si="16"/>
        <v>464581.81341599999</v>
      </c>
    </row>
    <row r="79" spans="1:15" s="14" customFormat="1" x14ac:dyDescent="0.3">
      <c r="A79" s="72" t="s">
        <v>66</v>
      </c>
      <c r="B79" s="40">
        <f>Base!B76-'DoubleCircuit_MLTS-BATS'!I79</f>
        <v>165.88</v>
      </c>
      <c r="C79" s="40">
        <f>Base!C76-'DoubleCircuit_MLTS-BATS'!J79</f>
        <v>790.84999999999854</v>
      </c>
      <c r="D79" s="40">
        <f>Base!D76-'DoubleCircuit_MLTS-BATS'!K79</f>
        <v>410.19367999999849</v>
      </c>
      <c r="E79" s="2" t="str">
        <f t="shared" si="17"/>
        <v>Y</v>
      </c>
      <c r="F79" s="52">
        <f t="shared" si="15"/>
        <v>25411.498475999906</v>
      </c>
      <c r="H79" s="72" t="s">
        <v>66</v>
      </c>
      <c r="I79" s="40">
        <v>656.15000000000009</v>
      </c>
      <c r="J79" s="40">
        <v>9343.5200000000023</v>
      </c>
      <c r="K79" s="40">
        <v>7603.6522400000013</v>
      </c>
      <c r="L79" s="40">
        <f t="shared" si="16"/>
        <v>471046.25626800011</v>
      </c>
      <c r="N79" s="39"/>
      <c r="O79" s="39"/>
    </row>
    <row r="80" spans="1:15" s="14" customFormat="1" x14ac:dyDescent="0.3">
      <c r="A80" s="72" t="s">
        <v>67</v>
      </c>
      <c r="B80" s="40">
        <f>Base!B77-'DoubleCircuit_MLTS-BATS'!I80</f>
        <v>220.74</v>
      </c>
      <c r="C80" s="40">
        <f>Base!C77-'DoubleCircuit_MLTS-BATS'!J80</f>
        <v>976.53000000000247</v>
      </c>
      <c r="D80" s="40">
        <f>Base!D77-'DoubleCircuit_MLTS-BATS'!K80</f>
        <v>502.71408000000156</v>
      </c>
      <c r="E80" s="2" t="str">
        <f t="shared" si="17"/>
        <v>Y</v>
      </c>
      <c r="F80" s="52">
        <f t="shared" si="15"/>
        <v>31143.137256000096</v>
      </c>
      <c r="H80" s="72" t="s">
        <v>67</v>
      </c>
      <c r="I80" s="40">
        <v>690.19999999999993</v>
      </c>
      <c r="J80" s="40">
        <v>9757.27</v>
      </c>
      <c r="K80" s="40">
        <v>7897.1960799999997</v>
      </c>
      <c r="L80" s="40">
        <f t="shared" si="16"/>
        <v>489231.29715599999</v>
      </c>
      <c r="N80" s="45"/>
      <c r="O80" s="54"/>
    </row>
    <row r="81" spans="1:15" s="14" customFormat="1" x14ac:dyDescent="0.3">
      <c r="A81" s="72" t="s">
        <v>68</v>
      </c>
      <c r="B81" s="40">
        <f>Base!B78-'DoubleCircuit_MLTS-BATS'!I81</f>
        <v>23.530000000000086</v>
      </c>
      <c r="C81" s="40">
        <f>Base!C78-'DoubleCircuit_MLTS-BATS'!J81</f>
        <v>828.21000000000095</v>
      </c>
      <c r="D81" s="40">
        <f>Base!D78-'DoubleCircuit_MLTS-BATS'!K81</f>
        <v>468.73991999999816</v>
      </c>
      <c r="E81" s="2" t="str">
        <f t="shared" si="17"/>
        <v>Y</v>
      </c>
      <c r="F81" s="52">
        <f t="shared" si="15"/>
        <v>29038.438043999886</v>
      </c>
      <c r="H81" s="72" t="s">
        <v>68</v>
      </c>
      <c r="I81" s="40">
        <v>970.04</v>
      </c>
      <c r="J81" s="40">
        <v>10400.980000000001</v>
      </c>
      <c r="K81" s="40">
        <v>8230.9633600000016</v>
      </c>
      <c r="L81" s="40">
        <f t="shared" si="16"/>
        <v>509908.1801520001</v>
      </c>
      <c r="N81" s="45"/>
      <c r="O81" s="54"/>
    </row>
    <row r="82" spans="1:15" s="14" customFormat="1" x14ac:dyDescent="0.3">
      <c r="A82" s="72" t="s">
        <v>69</v>
      </c>
      <c r="B82" s="40">
        <f>Base!B79-'DoubleCircuit_MLTS-BATS'!I82</f>
        <v>135.33999999999992</v>
      </c>
      <c r="C82" s="40">
        <f>Base!C79-'DoubleCircuit_MLTS-BATS'!J82</f>
        <v>793.68999999999869</v>
      </c>
      <c r="D82" s="40">
        <f>Base!D79-'DoubleCircuit_MLTS-BATS'!K82</f>
        <v>393.45520000000033</v>
      </c>
      <c r="E82" s="2" t="str">
        <f t="shared" si="17"/>
        <v>Y</v>
      </c>
      <c r="F82" s="52">
        <f t="shared" si="15"/>
        <v>24374.549640000023</v>
      </c>
      <c r="H82" s="72" t="s">
        <v>69</v>
      </c>
      <c r="I82" s="40">
        <v>964.38000000000011</v>
      </c>
      <c r="J82" s="40">
        <v>10708.380000000001</v>
      </c>
      <c r="K82" s="40">
        <v>8577.2140799999997</v>
      </c>
      <c r="L82" s="40">
        <f t="shared" si="16"/>
        <v>531358.41225599998</v>
      </c>
      <c r="N82" s="39"/>
      <c r="O82" s="39"/>
    </row>
    <row r="83" spans="1:15" s="14" customFormat="1" x14ac:dyDescent="0.3">
      <c r="A83" s="72" t="s">
        <v>70</v>
      </c>
      <c r="B83" s="40">
        <f>Base!B80-'DoubleCircuit_MLTS-BATS'!I83</f>
        <v>92.070000000000164</v>
      </c>
      <c r="C83" s="40">
        <f>Base!C80-'DoubleCircuit_MLTS-BATS'!J83</f>
        <v>1181.2499999999982</v>
      </c>
      <c r="D83" s="40">
        <f>Base!D80-'DoubleCircuit_MLTS-BATS'!K83</f>
        <v>612.2560799999992</v>
      </c>
      <c r="E83" s="2" t="str">
        <f t="shared" si="17"/>
        <v>Y</v>
      </c>
      <c r="F83" s="52">
        <f t="shared" si="15"/>
        <v>37929.264155999954</v>
      </c>
      <c r="H83" s="72" t="s">
        <v>70</v>
      </c>
      <c r="I83" s="40">
        <v>1032.5799999999997</v>
      </c>
      <c r="J83" s="40">
        <v>10917.289999999999</v>
      </c>
      <c r="K83" s="40">
        <v>8608.4700799999991</v>
      </c>
      <c r="L83" s="40">
        <f t="shared" si="16"/>
        <v>533294.721456</v>
      </c>
      <c r="N83" s="39"/>
      <c r="O83" s="39"/>
    </row>
    <row r="84" spans="1:15" s="14" customFormat="1" x14ac:dyDescent="0.3">
      <c r="A84" s="72" t="s">
        <v>71</v>
      </c>
      <c r="B84" s="40">
        <f>Base!B81-'DoubleCircuit_MLTS-BATS'!I84</f>
        <v>277.94000000000005</v>
      </c>
      <c r="C84" s="40">
        <f>Base!C81-'DoubleCircuit_MLTS-BATS'!J84</f>
        <v>1283.470000000003</v>
      </c>
      <c r="D84" s="40">
        <f>Base!D81-'DoubleCircuit_MLTS-BATS'!K84</f>
        <v>653.42296000000169</v>
      </c>
      <c r="E84" s="2" t="str">
        <f t="shared" si="17"/>
        <v>Y</v>
      </c>
      <c r="F84" s="52">
        <f t="shared" si="15"/>
        <v>40479.552372000107</v>
      </c>
      <c r="H84" s="72" t="s">
        <v>71</v>
      </c>
      <c r="I84" s="40">
        <v>1025.04</v>
      </c>
      <c r="J84" s="40">
        <v>11438.6</v>
      </c>
      <c r="K84" s="40">
        <v>8838.9007999999994</v>
      </c>
      <c r="L84" s="40">
        <f t="shared" si="16"/>
        <v>547569.90455999994</v>
      </c>
      <c r="N84" s="39"/>
      <c r="O84" s="39"/>
    </row>
    <row r="85" spans="1:15" s="14" customFormat="1" x14ac:dyDescent="0.3">
      <c r="A85" s="72" t="s">
        <v>72</v>
      </c>
      <c r="B85" s="40">
        <f>Base!B82-'DoubleCircuit_MLTS-BATS'!I85</f>
        <v>159.88000000000011</v>
      </c>
      <c r="C85" s="40">
        <f>Base!C82-'DoubleCircuit_MLTS-BATS'!J85</f>
        <v>1180.8399999999983</v>
      </c>
      <c r="D85" s="40">
        <f>Base!D82-'DoubleCircuit_MLTS-BATS'!K85</f>
        <v>606.42424000000028</v>
      </c>
      <c r="E85" s="2" t="str">
        <f t="shared" si="17"/>
        <v>Y</v>
      </c>
      <c r="F85" s="52">
        <f t="shared" si="15"/>
        <v>37567.981668000022</v>
      </c>
      <c r="H85" s="72" t="s">
        <v>72</v>
      </c>
      <c r="I85" s="40">
        <v>1050.5900000000001</v>
      </c>
      <c r="J85" s="40">
        <v>12136.79</v>
      </c>
      <c r="K85" s="40">
        <v>9189.5501599999989</v>
      </c>
      <c r="L85" s="40">
        <f t="shared" si="16"/>
        <v>569292.63241199998</v>
      </c>
    </row>
    <row r="86" spans="1:15" s="14" customFormat="1" x14ac:dyDescent="0.3">
      <c r="A86" s="72" t="s">
        <v>73</v>
      </c>
      <c r="B86" s="40">
        <f>Base!B83-'DoubleCircuit_MLTS-BATS'!I86</f>
        <v>201.33999999999992</v>
      </c>
      <c r="C86" s="40">
        <f>Base!C83-'DoubleCircuit_MLTS-BATS'!J86</f>
        <v>1377.0999999999985</v>
      </c>
      <c r="D86" s="40">
        <f>Base!D83-'DoubleCircuit_MLTS-BATS'!K86</f>
        <v>741.95823999999993</v>
      </c>
      <c r="E86" s="2" t="str">
        <f t="shared" si="17"/>
        <v>Y</v>
      </c>
      <c r="F86" s="52">
        <f t="shared" si="15"/>
        <v>45964.312967999998</v>
      </c>
      <c r="H86" s="72" t="s">
        <v>73</v>
      </c>
      <c r="I86" s="40">
        <v>1202.3799999999999</v>
      </c>
      <c r="J86" s="40">
        <v>13563.21</v>
      </c>
      <c r="K86" s="40">
        <v>9760.7531999999992</v>
      </c>
      <c r="L86" s="40">
        <f t="shared" si="16"/>
        <v>604678.66073999996</v>
      </c>
    </row>
    <row r="87" spans="1:15" s="14" customFormat="1" ht="15" thickBot="1" x14ac:dyDescent="0.35">
      <c r="E87" s="60">
        <f>COUNTIF(E77:E86,"Y")</f>
        <v>10</v>
      </c>
      <c r="F87" s="62">
        <f>-PV($G$6,$G$7-7,F86)</f>
        <v>439852.38377708342</v>
      </c>
      <c r="G87" s="55" t="s">
        <v>11</v>
      </c>
    </row>
    <row r="88" spans="1:15" s="14" customFormat="1" ht="15" thickTop="1" x14ac:dyDescent="0.3"/>
    <row r="89" spans="1:15" s="14" customFormat="1" ht="15.6" x14ac:dyDescent="0.3">
      <c r="A89" s="409" t="s">
        <v>53</v>
      </c>
      <c r="B89" s="410"/>
      <c r="C89" s="410"/>
      <c r="D89" s="410"/>
      <c r="E89" s="410"/>
      <c r="F89" s="411"/>
      <c r="H89" s="406" t="s">
        <v>63</v>
      </c>
      <c r="I89" s="406"/>
      <c r="J89" s="406"/>
      <c r="K89" s="406"/>
      <c r="L89" s="406"/>
    </row>
    <row r="90" spans="1:15" s="14" customFormat="1" ht="43.2" x14ac:dyDescent="0.3">
      <c r="A90" s="1" t="s">
        <v>5</v>
      </c>
      <c r="B90" s="51" t="s">
        <v>151</v>
      </c>
      <c r="C90" s="51" t="s">
        <v>152</v>
      </c>
      <c r="D90" s="51" t="s">
        <v>153</v>
      </c>
      <c r="E90" s="51" t="s">
        <v>12</v>
      </c>
      <c r="F90" s="51" t="s">
        <v>58</v>
      </c>
      <c r="H90" s="94" t="s">
        <v>5</v>
      </c>
      <c r="I90" s="51" t="s">
        <v>75</v>
      </c>
      <c r="J90" s="51" t="s">
        <v>51</v>
      </c>
      <c r="K90" s="50" t="s">
        <v>0</v>
      </c>
      <c r="L90" s="51" t="s">
        <v>58</v>
      </c>
    </row>
    <row r="91" spans="1:15" s="14" customFormat="1" x14ac:dyDescent="0.3">
      <c r="A91" s="72" t="s">
        <v>64</v>
      </c>
      <c r="B91" s="40">
        <f>Base!B88-'DoubleCircuit_MLTS-BATS'!I91</f>
        <v>211.05000000000007</v>
      </c>
      <c r="C91" s="40">
        <f>Base!C88-'DoubleCircuit_MLTS-BATS'!J91</f>
        <v>1162.6800000000021</v>
      </c>
      <c r="D91" s="40">
        <f>Base!D88-'DoubleCircuit_MLTS-BATS'!K91</f>
        <v>680.91575999999986</v>
      </c>
      <c r="E91" s="2" t="str">
        <f>E35</f>
        <v>Y</v>
      </c>
      <c r="F91" s="52">
        <f t="shared" ref="F91:F100" si="18">IF(E91="Y",D91*$G$5,-D91*$G$5)</f>
        <v>42182.731331999996</v>
      </c>
      <c r="H91" s="72" t="s">
        <v>64</v>
      </c>
      <c r="I91" s="40">
        <v>587.12</v>
      </c>
      <c r="J91" s="40">
        <v>8947.76</v>
      </c>
      <c r="K91" s="40">
        <v>7298.4835999999996</v>
      </c>
      <c r="L91" s="40">
        <f t="shared" ref="L91:L100" si="19">K91*$G$5</f>
        <v>452141.05901999999</v>
      </c>
    </row>
    <row r="92" spans="1:15" s="14" customFormat="1" x14ac:dyDescent="0.3">
      <c r="A92" s="72" t="s">
        <v>65</v>
      </c>
      <c r="B92" s="40">
        <f>Base!B89-'DoubleCircuit_MLTS-BATS'!I92</f>
        <v>132.85000000000002</v>
      </c>
      <c r="C92" s="40">
        <f>Base!C89-'DoubleCircuit_MLTS-BATS'!J92</f>
        <v>520.73000000000138</v>
      </c>
      <c r="D92" s="40">
        <f>Base!D89-'DoubleCircuit_MLTS-BATS'!K92</f>
        <v>271.20008000000053</v>
      </c>
      <c r="E92" s="2" t="str">
        <f t="shared" ref="E92:E100" si="20">E36</f>
        <v>Y</v>
      </c>
      <c r="F92" s="52">
        <f t="shared" si="18"/>
        <v>16800.844956000034</v>
      </c>
      <c r="H92" s="72" t="s">
        <v>65</v>
      </c>
      <c r="I92" s="40">
        <v>631.1</v>
      </c>
      <c r="J92" s="40">
        <v>9196.24</v>
      </c>
      <c r="K92" s="40">
        <v>7401.2907999999989</v>
      </c>
      <c r="L92" s="40">
        <f t="shared" si="19"/>
        <v>458509.96505999996</v>
      </c>
    </row>
    <row r="93" spans="1:15" s="14" customFormat="1" x14ac:dyDescent="0.3">
      <c r="A93" s="72" t="s">
        <v>66</v>
      </c>
      <c r="B93" s="40">
        <f>Base!B90-'DoubleCircuit_MLTS-BATS'!I93</f>
        <v>63.220000000000027</v>
      </c>
      <c r="C93" s="40">
        <f>Base!C90-'DoubleCircuit_MLTS-BATS'!J93</f>
        <v>269.06000000000131</v>
      </c>
      <c r="D93" s="40">
        <f>Base!D90-'DoubleCircuit_MLTS-BATS'!K93</f>
        <v>276.36800000000039</v>
      </c>
      <c r="E93" s="2" t="str">
        <f t="shared" si="20"/>
        <v>Y</v>
      </c>
      <c r="F93" s="52">
        <f t="shared" si="18"/>
        <v>17120.997600000024</v>
      </c>
      <c r="H93" s="72" t="s">
        <v>66</v>
      </c>
      <c r="I93" s="40">
        <v>691.97</v>
      </c>
      <c r="J93" s="40">
        <v>9548.18</v>
      </c>
      <c r="K93" s="40">
        <v>7603.3889600000002</v>
      </c>
      <c r="L93" s="40">
        <f t="shared" si="19"/>
        <v>471029.94607200002</v>
      </c>
    </row>
    <row r="94" spans="1:15" s="14" customFormat="1" x14ac:dyDescent="0.3">
      <c r="A94" s="72" t="s">
        <v>67</v>
      </c>
      <c r="B94" s="40">
        <f>Base!B91-'DoubleCircuit_MLTS-BATS'!I94</f>
        <v>84.409999999999968</v>
      </c>
      <c r="C94" s="40">
        <f>Base!C91-'DoubleCircuit_MLTS-BATS'!J94</f>
        <v>395.46000000000095</v>
      </c>
      <c r="D94" s="40">
        <f>Base!D91-'DoubleCircuit_MLTS-BATS'!K94</f>
        <v>385.63944000000083</v>
      </c>
      <c r="E94" s="2" t="str">
        <f t="shared" si="20"/>
        <v>Y</v>
      </c>
      <c r="F94" s="52">
        <f t="shared" si="18"/>
        <v>23890.363308000051</v>
      </c>
      <c r="H94" s="72" t="s">
        <v>67</v>
      </c>
      <c r="I94" s="40">
        <v>716.25</v>
      </c>
      <c r="J94" s="40">
        <v>9555.74</v>
      </c>
      <c r="K94" s="40">
        <v>7526.5450399999991</v>
      </c>
      <c r="L94" s="40">
        <f t="shared" si="19"/>
        <v>466269.46522799996</v>
      </c>
    </row>
    <row r="95" spans="1:15" s="14" customFormat="1" x14ac:dyDescent="0.3">
      <c r="A95" s="72" t="s">
        <v>68</v>
      </c>
      <c r="B95" s="40">
        <f>Base!B92-'DoubleCircuit_MLTS-BATS'!I95</f>
        <v>84.149999999999977</v>
      </c>
      <c r="C95" s="40">
        <f>Base!C92-'DoubleCircuit_MLTS-BATS'!J95</f>
        <v>359.3799999999992</v>
      </c>
      <c r="D95" s="40">
        <f>Base!D92-'DoubleCircuit_MLTS-BATS'!K95</f>
        <v>389.01568000000043</v>
      </c>
      <c r="E95" s="2" t="str">
        <f t="shared" si="20"/>
        <v>Y</v>
      </c>
      <c r="F95" s="52">
        <f t="shared" si="18"/>
        <v>24099.521376000026</v>
      </c>
      <c r="H95" s="72" t="s">
        <v>68</v>
      </c>
      <c r="I95" s="40">
        <v>806.68</v>
      </c>
      <c r="J95" s="40">
        <v>9948.1900000000023</v>
      </c>
      <c r="K95" s="40">
        <v>7713.5706399999999</v>
      </c>
      <c r="L95" s="40">
        <f t="shared" si="19"/>
        <v>477855.70114800002</v>
      </c>
    </row>
    <row r="96" spans="1:15" s="14" customFormat="1" x14ac:dyDescent="0.3">
      <c r="A96" s="72" t="s">
        <v>69</v>
      </c>
      <c r="B96" s="40">
        <f>Base!B93-'DoubleCircuit_MLTS-BATS'!I96</f>
        <v>127.99000000000012</v>
      </c>
      <c r="C96" s="40">
        <f>Base!C93-'DoubleCircuit_MLTS-BATS'!J96</f>
        <v>491.02999999999884</v>
      </c>
      <c r="D96" s="40">
        <f>Base!D93-'DoubleCircuit_MLTS-BATS'!K96</f>
        <v>488.24599999999919</v>
      </c>
      <c r="E96" s="2" t="str">
        <f t="shared" si="20"/>
        <v>Y</v>
      </c>
      <c r="F96" s="52">
        <f t="shared" si="18"/>
        <v>30246.83969999995</v>
      </c>
      <c r="H96" s="72" t="s">
        <v>69</v>
      </c>
      <c r="I96" s="40">
        <v>865.41</v>
      </c>
      <c r="J96" s="40">
        <v>10453.77</v>
      </c>
      <c r="K96" s="40">
        <v>7841.6402400000006</v>
      </c>
      <c r="L96" s="40">
        <f t="shared" si="19"/>
        <v>485789.61286800005</v>
      </c>
    </row>
    <row r="97" spans="1:12" s="14" customFormat="1" x14ac:dyDescent="0.3">
      <c r="A97" s="72" t="s">
        <v>70</v>
      </c>
      <c r="B97" s="40">
        <f>Base!B94-'DoubleCircuit_MLTS-BATS'!I97</f>
        <v>107.75000000000023</v>
      </c>
      <c r="C97" s="40">
        <f>Base!C94-'DoubleCircuit_MLTS-BATS'!J97</f>
        <v>531.70000000000073</v>
      </c>
      <c r="D97" s="40">
        <f>Base!D94-'DoubleCircuit_MLTS-BATS'!K97</f>
        <v>553.62400000000162</v>
      </c>
      <c r="E97" s="2" t="str">
        <f t="shared" si="20"/>
        <v>Y</v>
      </c>
      <c r="F97" s="52">
        <f t="shared" si="18"/>
        <v>34297.006800000105</v>
      </c>
      <c r="H97" s="72" t="s">
        <v>70</v>
      </c>
      <c r="I97" s="40">
        <v>965.12999999999988</v>
      </c>
      <c r="J97" s="40">
        <v>11749.479999999998</v>
      </c>
      <c r="K97" s="40">
        <v>8449.0410399999982</v>
      </c>
      <c r="L97" s="40">
        <f t="shared" si="19"/>
        <v>523418.09242799989</v>
      </c>
    </row>
    <row r="98" spans="1:12" s="14" customFormat="1" x14ac:dyDescent="0.3">
      <c r="A98" s="72" t="s">
        <v>71</v>
      </c>
      <c r="B98" s="40">
        <f>Base!B95-'DoubleCircuit_MLTS-BATS'!I98</f>
        <v>115.70000000000027</v>
      </c>
      <c r="C98" s="40">
        <f>Base!C95-'DoubleCircuit_MLTS-BATS'!J98</f>
        <v>551.31999999999971</v>
      </c>
      <c r="D98" s="40">
        <f>Base!D95-'DoubleCircuit_MLTS-BATS'!K98</f>
        <v>562.60215999999855</v>
      </c>
      <c r="E98" s="2" t="str">
        <f t="shared" si="20"/>
        <v>Y</v>
      </c>
      <c r="F98" s="52">
        <f t="shared" si="18"/>
        <v>34853.203811999912</v>
      </c>
      <c r="H98" s="72" t="s">
        <v>71</v>
      </c>
      <c r="I98" s="40">
        <v>1002.73</v>
      </c>
      <c r="J98" s="40">
        <v>13098.96</v>
      </c>
      <c r="K98" s="40">
        <v>8954.8507200000004</v>
      </c>
      <c r="L98" s="40">
        <f t="shared" si="19"/>
        <v>554753.00210400007</v>
      </c>
    </row>
    <row r="99" spans="1:12" s="14" customFormat="1" x14ac:dyDescent="0.3">
      <c r="A99" s="72" t="s">
        <v>72</v>
      </c>
      <c r="B99" s="40">
        <f>Base!B96-'DoubleCircuit_MLTS-BATS'!I99</f>
        <v>103.25999999999988</v>
      </c>
      <c r="C99" s="40">
        <f>Base!C96-'DoubleCircuit_MLTS-BATS'!J99</f>
        <v>452.40999999999985</v>
      </c>
      <c r="D99" s="40">
        <f>Base!D96-'DoubleCircuit_MLTS-BATS'!K99</f>
        <v>494.90079999999944</v>
      </c>
      <c r="E99" s="2" t="str">
        <f t="shared" si="20"/>
        <v>Y</v>
      </c>
      <c r="F99" s="52">
        <f t="shared" si="18"/>
        <v>30659.104559999967</v>
      </c>
      <c r="H99" s="72" t="s">
        <v>72</v>
      </c>
      <c r="I99" s="40">
        <v>968.43</v>
      </c>
      <c r="J99" s="40">
        <v>14385.810000000001</v>
      </c>
      <c r="K99" s="40">
        <v>9266.7160799999983</v>
      </c>
      <c r="L99" s="40">
        <f t="shared" si="19"/>
        <v>574073.06115599989</v>
      </c>
    </row>
    <row r="100" spans="1:12" s="14" customFormat="1" x14ac:dyDescent="0.3">
      <c r="A100" s="72" t="s">
        <v>73</v>
      </c>
      <c r="B100" s="40">
        <f>Base!B97-'DoubleCircuit_MLTS-BATS'!I100</f>
        <v>99.339999999999691</v>
      </c>
      <c r="C100" s="40">
        <f>Base!C97-'DoubleCircuit_MLTS-BATS'!J100</f>
        <v>290.03000000000247</v>
      </c>
      <c r="D100" s="40">
        <f>Base!D97-'DoubleCircuit_MLTS-BATS'!K100</f>
        <v>434.33168000000296</v>
      </c>
      <c r="E100" s="2" t="str">
        <f t="shared" si="20"/>
        <v>Y</v>
      </c>
      <c r="F100" s="52">
        <f t="shared" si="18"/>
        <v>26906.847576000186</v>
      </c>
      <c r="H100" s="72" t="s">
        <v>73</v>
      </c>
      <c r="I100" s="40">
        <v>1083.3800000000001</v>
      </c>
      <c r="J100" s="40">
        <v>16919.859999999997</v>
      </c>
      <c r="K100" s="40">
        <v>10263.705759999997</v>
      </c>
      <c r="L100" s="40">
        <f t="shared" si="19"/>
        <v>635836.57183199981</v>
      </c>
    </row>
    <row r="101" spans="1:12" s="14" customFormat="1" ht="15" thickBot="1" x14ac:dyDescent="0.35">
      <c r="E101" s="60">
        <f>COUNTIF(E91:E100,"Y")</f>
        <v>10</v>
      </c>
      <c r="F101" s="62">
        <f>-PV($G$6,$G$7-7,F100)</f>
        <v>257483.2578150311</v>
      </c>
      <c r="G101" s="55" t="s">
        <v>11</v>
      </c>
    </row>
    <row r="102" spans="1:12" ht="15" thickTop="1" x14ac:dyDescent="0.3"/>
  </sheetData>
  <mergeCells count="12">
    <mergeCell ref="A75:F75"/>
    <mergeCell ref="H75:L75"/>
    <mergeCell ref="A89:F89"/>
    <mergeCell ref="H89:L89"/>
    <mergeCell ref="M15:Q15"/>
    <mergeCell ref="A33:F33"/>
    <mergeCell ref="H33:L33"/>
    <mergeCell ref="A47:F47"/>
    <mergeCell ref="H47:L47"/>
    <mergeCell ref="A61:F61"/>
    <mergeCell ref="H61:L61"/>
    <mergeCell ref="A15:I15"/>
  </mergeCell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02"/>
  <sheetViews>
    <sheetView zoomScale="70" zoomScaleNormal="70" workbookViewId="0">
      <selection activeCell="A73" sqref="A73"/>
    </sheetView>
  </sheetViews>
  <sheetFormatPr defaultRowHeight="14.4" x14ac:dyDescent="0.3"/>
  <cols>
    <col min="1" max="1" width="38.77734375" style="30" customWidth="1"/>
    <col min="2" max="12" width="15.77734375" style="30" customWidth="1"/>
    <col min="13" max="17" width="10.77734375" style="30" customWidth="1"/>
    <col min="18" max="16384" width="8.88671875" style="30"/>
  </cols>
  <sheetData>
    <row r="2" spans="1:18" x14ac:dyDescent="0.3">
      <c r="A2" s="8" t="s">
        <v>128</v>
      </c>
    </row>
    <row r="3" spans="1:18" x14ac:dyDescent="0.3">
      <c r="A3" s="8"/>
    </row>
    <row r="5" spans="1:18" x14ac:dyDescent="0.3">
      <c r="A5" s="68" t="s">
        <v>31</v>
      </c>
      <c r="B5" s="69" t="s">
        <v>33</v>
      </c>
      <c r="C5" s="69" t="s">
        <v>34</v>
      </c>
      <c r="D5" s="69" t="s">
        <v>35</v>
      </c>
      <c r="F5" s="65" t="s">
        <v>3</v>
      </c>
      <c r="G5" s="9">
        <v>61.95</v>
      </c>
    </row>
    <row r="6" spans="1:18" x14ac:dyDescent="0.3">
      <c r="A6" s="15" t="s">
        <v>4</v>
      </c>
      <c r="B6" s="16">
        <v>171.8</v>
      </c>
      <c r="C6" s="22"/>
      <c r="D6" s="22"/>
      <c r="F6" s="66" t="s">
        <v>2</v>
      </c>
      <c r="G6" s="10">
        <v>0.1</v>
      </c>
    </row>
    <row r="7" spans="1:18" x14ac:dyDescent="0.3">
      <c r="A7" s="15" t="s">
        <v>36</v>
      </c>
      <c r="B7" s="17">
        <v>0.02</v>
      </c>
      <c r="C7" s="31"/>
      <c r="D7" s="31"/>
      <c r="F7" s="66" t="s">
        <v>1</v>
      </c>
      <c r="G7" s="11">
        <v>40</v>
      </c>
    </row>
    <row r="8" spans="1:18" x14ac:dyDescent="0.3">
      <c r="A8" s="15" t="s">
        <v>30</v>
      </c>
      <c r="B8" s="18">
        <f>-PV($G$6,$G$7,B6*B7)</f>
        <v>33.6008182686911</v>
      </c>
      <c r="C8" s="32">
        <f>-PV($G$6,$G$7,C6*C7)</f>
        <v>0</v>
      </c>
      <c r="D8" s="32">
        <f>-PV($G$6,$G$7,D6*D7)</f>
        <v>0</v>
      </c>
      <c r="F8" s="66" t="s">
        <v>6</v>
      </c>
      <c r="G8" s="10">
        <v>0.2</v>
      </c>
    </row>
    <row r="9" spans="1:18" x14ac:dyDescent="0.3">
      <c r="A9" s="15" t="s">
        <v>32</v>
      </c>
      <c r="B9" s="18">
        <f>B6+B8</f>
        <v>205.40081826869113</v>
      </c>
      <c r="C9" s="32">
        <f>C6+C8</f>
        <v>0</v>
      </c>
      <c r="D9" s="32">
        <f>D6+D8</f>
        <v>0</v>
      </c>
      <c r="F9" s="66" t="s">
        <v>7</v>
      </c>
      <c r="G9" s="10">
        <v>0.2</v>
      </c>
    </row>
    <row r="10" spans="1:18" x14ac:dyDescent="0.3">
      <c r="A10" s="15" t="s">
        <v>15</v>
      </c>
      <c r="B10" s="18">
        <f>-PMT($G$6,$G$7,B9)</f>
        <v>21.004167396388681</v>
      </c>
      <c r="C10" s="32">
        <f>-PMT($G$6,$G$7,C9)</f>
        <v>0</v>
      </c>
      <c r="D10" s="32">
        <f>-PMT($G$6,$G$7,D9)</f>
        <v>0</v>
      </c>
      <c r="F10" s="66" t="s">
        <v>8</v>
      </c>
      <c r="G10" s="10">
        <v>0.2</v>
      </c>
    </row>
    <row r="11" spans="1:18" x14ac:dyDescent="0.3">
      <c r="B11" s="14"/>
      <c r="C11" s="14"/>
      <c r="D11" s="14"/>
      <c r="F11" s="66" t="s">
        <v>9</v>
      </c>
      <c r="G11" s="10">
        <v>0.2</v>
      </c>
    </row>
    <row r="12" spans="1:18" x14ac:dyDescent="0.3">
      <c r="A12" s="6" t="s">
        <v>28</v>
      </c>
      <c r="B12" s="19">
        <f>SUM(B9:D9)</f>
        <v>205.40081826869113</v>
      </c>
      <c r="C12" s="14"/>
      <c r="D12" s="14"/>
      <c r="F12" s="67" t="s">
        <v>10</v>
      </c>
      <c r="G12" s="12">
        <v>0.2</v>
      </c>
    </row>
    <row r="13" spans="1:18" x14ac:dyDescent="0.3">
      <c r="A13" s="7" t="s">
        <v>29</v>
      </c>
      <c r="B13" s="20">
        <f>-PMT($G$6,$G$7,B12)</f>
        <v>21.004167396388681</v>
      </c>
      <c r="C13" s="14"/>
      <c r="D13" s="14"/>
    </row>
    <row r="15" spans="1:18" ht="15.6" x14ac:dyDescent="0.3">
      <c r="A15" s="397" t="s">
        <v>57</v>
      </c>
      <c r="B15" s="397"/>
      <c r="C15" s="397"/>
      <c r="D15" s="397"/>
      <c r="E15" s="397"/>
      <c r="F15" s="397"/>
      <c r="G15" s="397"/>
      <c r="H15" s="397"/>
      <c r="I15" s="397"/>
      <c r="M15" s="407"/>
      <c r="N15" s="407"/>
      <c r="O15" s="407"/>
      <c r="P15" s="407"/>
      <c r="Q15" s="407"/>
      <c r="R15" s="23"/>
    </row>
    <row r="16" spans="1:18" s="14" customFormat="1" ht="57.6" x14ac:dyDescent="0.3">
      <c r="A16" s="94" t="s">
        <v>5</v>
      </c>
      <c r="B16" s="51" t="s">
        <v>151</v>
      </c>
      <c r="C16" s="51" t="s">
        <v>152</v>
      </c>
      <c r="D16" s="51" t="s">
        <v>153</v>
      </c>
      <c r="E16" s="50" t="s">
        <v>25</v>
      </c>
      <c r="F16" s="50" t="s">
        <v>15</v>
      </c>
      <c r="G16" s="50" t="s">
        <v>26</v>
      </c>
      <c r="H16" s="50" t="s">
        <v>12</v>
      </c>
      <c r="I16" s="50" t="s">
        <v>24</v>
      </c>
      <c r="J16" s="35"/>
      <c r="K16" s="35"/>
      <c r="M16" s="36"/>
      <c r="N16" s="37"/>
      <c r="O16" s="37"/>
      <c r="P16" s="37"/>
      <c r="Q16" s="38"/>
      <c r="R16" s="39"/>
    </row>
    <row r="17" spans="1:18" s="14" customFormat="1" x14ac:dyDescent="0.3">
      <c r="A17" s="72" t="s">
        <v>64</v>
      </c>
      <c r="B17" s="40">
        <f>MAX(B35,B49,B63,B77,B91)</f>
        <v>31.980000000000018</v>
      </c>
      <c r="C17" s="40">
        <f>MAX(C35,C49,C63,C77,C91)</f>
        <v>-9.0999999999985448</v>
      </c>
      <c r="D17" s="40">
        <f t="shared" ref="D17:D26" si="0">$G$8*D35+$G$9*D49+$G$10*D63+$G$11*D77+$G$12*D91</f>
        <v>-56.235439999999656</v>
      </c>
      <c r="E17" s="41">
        <f t="shared" ref="E17:E26" si="1">D17*$G$5/1000</f>
        <v>-3.4837855079999791</v>
      </c>
      <c r="F17" s="41">
        <f t="shared" ref="F17:F26" si="2">$B$13</f>
        <v>21.004167396388681</v>
      </c>
      <c r="G17" s="41">
        <f>E17-F17</f>
        <v>-24.48795290438866</v>
      </c>
      <c r="H17" s="42" t="s">
        <v>13</v>
      </c>
      <c r="I17" s="41">
        <f>IF(OR(H17="Y",H17="Y1",H17="Y2"),E17,-Q17)</f>
        <v>-3.4837855079999791</v>
      </c>
      <c r="J17" s="43"/>
      <c r="K17" s="43"/>
      <c r="M17" s="44"/>
      <c r="N17" s="45"/>
      <c r="O17" s="45"/>
      <c r="P17" s="45"/>
      <c r="Q17" s="33"/>
      <c r="R17" s="39"/>
    </row>
    <row r="18" spans="1:18" s="14" customFormat="1" x14ac:dyDescent="0.3">
      <c r="A18" s="72" t="s">
        <v>65</v>
      </c>
      <c r="B18" s="40">
        <f t="shared" ref="B18:C26" si="3">MAX(B36,B50,B64,B78,B92)</f>
        <v>34.879999999999995</v>
      </c>
      <c r="C18" s="40">
        <f t="shared" si="3"/>
        <v>98.100000000000364</v>
      </c>
      <c r="D18" s="40">
        <f t="shared" si="0"/>
        <v>11.052943999999485</v>
      </c>
      <c r="E18" s="41">
        <f t="shared" si="1"/>
        <v>0.6847298807999681</v>
      </c>
      <c r="F18" s="41">
        <f t="shared" si="2"/>
        <v>21.004167396388681</v>
      </c>
      <c r="G18" s="41">
        <f t="shared" ref="G18:G26" si="4">E18-F18</f>
        <v>-20.319437515588714</v>
      </c>
      <c r="H18" s="42" t="s">
        <v>13</v>
      </c>
      <c r="I18" s="41">
        <f t="shared" ref="I18:I26" si="5">IF(OR(H18="Y",H18="Y1",H18="Y2"),E18,-Q18)</f>
        <v>0.6847298807999681</v>
      </c>
      <c r="J18" s="43"/>
      <c r="K18" s="43"/>
      <c r="M18" s="44"/>
      <c r="N18" s="45"/>
      <c r="O18" s="45"/>
      <c r="P18" s="45"/>
      <c r="Q18" s="33"/>
      <c r="R18" s="39"/>
    </row>
    <row r="19" spans="1:18" s="14" customFormat="1" x14ac:dyDescent="0.3">
      <c r="A19" s="72" t="s">
        <v>66</v>
      </c>
      <c r="B19" s="40">
        <f t="shared" si="3"/>
        <v>30.490000000000009</v>
      </c>
      <c r="C19" s="40">
        <f t="shared" si="3"/>
        <v>390.47999999999956</v>
      </c>
      <c r="D19" s="40">
        <f t="shared" si="0"/>
        <v>78.902224000000032</v>
      </c>
      <c r="E19" s="41">
        <f t="shared" si="1"/>
        <v>4.8879927768000027</v>
      </c>
      <c r="F19" s="41">
        <f t="shared" si="2"/>
        <v>21.004167396388681</v>
      </c>
      <c r="G19" s="41">
        <f t="shared" si="4"/>
        <v>-16.116174619588676</v>
      </c>
      <c r="H19" s="42" t="s">
        <v>13</v>
      </c>
      <c r="I19" s="41">
        <f t="shared" si="5"/>
        <v>4.8879927768000027</v>
      </c>
      <c r="J19" s="43"/>
      <c r="K19" s="43"/>
      <c r="M19" s="44"/>
      <c r="N19" s="45"/>
      <c r="O19" s="45"/>
      <c r="P19" s="45"/>
      <c r="Q19" s="33"/>
      <c r="R19" s="39"/>
    </row>
    <row r="20" spans="1:18" s="14" customFormat="1" x14ac:dyDescent="0.3">
      <c r="A20" s="72" t="s">
        <v>67</v>
      </c>
      <c r="B20" s="40">
        <f t="shared" si="3"/>
        <v>82.710000000000036</v>
      </c>
      <c r="C20" s="40">
        <f t="shared" si="3"/>
        <v>560.73000000000138</v>
      </c>
      <c r="D20" s="40">
        <f t="shared" si="0"/>
        <v>110.30464000000029</v>
      </c>
      <c r="E20" s="41">
        <f t="shared" si="1"/>
        <v>6.8333724480000182</v>
      </c>
      <c r="F20" s="41">
        <f t="shared" si="2"/>
        <v>21.004167396388681</v>
      </c>
      <c r="G20" s="41">
        <f t="shared" si="4"/>
        <v>-14.170794948388663</v>
      </c>
      <c r="H20" s="42" t="s">
        <v>13</v>
      </c>
      <c r="I20" s="41">
        <f t="shared" si="5"/>
        <v>6.8333724480000182</v>
      </c>
      <c r="J20" s="43"/>
      <c r="K20" s="43"/>
      <c r="M20" s="44"/>
      <c r="N20" s="45"/>
      <c r="O20" s="45"/>
      <c r="P20" s="45"/>
      <c r="Q20" s="33"/>
      <c r="R20" s="39"/>
    </row>
    <row r="21" spans="1:18" s="14" customFormat="1" x14ac:dyDescent="0.3">
      <c r="A21" s="72" t="s">
        <v>68</v>
      </c>
      <c r="B21" s="40">
        <f t="shared" si="3"/>
        <v>155.18999999999994</v>
      </c>
      <c r="C21" s="40">
        <f t="shared" si="3"/>
        <v>740.03999999999905</v>
      </c>
      <c r="D21" s="40">
        <f t="shared" si="0"/>
        <v>169.16947199999925</v>
      </c>
      <c r="E21" s="41">
        <f t="shared" si="1"/>
        <v>10.480048790399954</v>
      </c>
      <c r="F21" s="41">
        <f t="shared" si="2"/>
        <v>21.004167396388681</v>
      </c>
      <c r="G21" s="41">
        <f t="shared" si="4"/>
        <v>-10.524118605988727</v>
      </c>
      <c r="H21" s="42" t="s">
        <v>13</v>
      </c>
      <c r="I21" s="41">
        <f t="shared" si="5"/>
        <v>10.480048790399954</v>
      </c>
      <c r="J21" s="43"/>
      <c r="K21" s="43"/>
      <c r="M21" s="44"/>
      <c r="N21" s="45"/>
      <c r="O21" s="45"/>
      <c r="P21" s="45"/>
      <c r="Q21" s="33"/>
      <c r="R21" s="39"/>
    </row>
    <row r="22" spans="1:18" s="14" customFormat="1" x14ac:dyDescent="0.3">
      <c r="A22" s="72" t="s">
        <v>69</v>
      </c>
      <c r="B22" s="40">
        <f t="shared" si="3"/>
        <v>184.37000000000012</v>
      </c>
      <c r="C22" s="40">
        <f t="shared" si="3"/>
        <v>853.73999999999978</v>
      </c>
      <c r="D22" s="40">
        <f t="shared" si="0"/>
        <v>290.37611200000015</v>
      </c>
      <c r="E22" s="41">
        <f t="shared" si="1"/>
        <v>17.988800138400009</v>
      </c>
      <c r="F22" s="41">
        <f t="shared" si="2"/>
        <v>21.004167396388681</v>
      </c>
      <c r="G22" s="41">
        <f t="shared" si="4"/>
        <v>-3.0153672579886717</v>
      </c>
      <c r="H22" s="42" t="s">
        <v>13</v>
      </c>
      <c r="I22" s="41">
        <f t="shared" si="5"/>
        <v>17.988800138400009</v>
      </c>
      <c r="J22" s="43"/>
      <c r="K22" s="43"/>
      <c r="M22" s="44"/>
      <c r="N22" s="45"/>
      <c r="O22" s="45"/>
      <c r="P22" s="45"/>
      <c r="Q22" s="33"/>
      <c r="R22" s="39"/>
    </row>
    <row r="23" spans="1:18" s="14" customFormat="1" x14ac:dyDescent="0.3">
      <c r="A23" s="72" t="s">
        <v>70</v>
      </c>
      <c r="B23" s="40">
        <f t="shared" si="3"/>
        <v>163.60000000000014</v>
      </c>
      <c r="C23" s="40">
        <f t="shared" si="3"/>
        <v>1127.8100000000013</v>
      </c>
      <c r="D23" s="40">
        <f t="shared" si="0"/>
        <v>250.0427199999998</v>
      </c>
      <c r="E23" s="41">
        <f t="shared" si="1"/>
        <v>15.490146503999989</v>
      </c>
      <c r="F23" s="41">
        <f t="shared" si="2"/>
        <v>21.004167396388681</v>
      </c>
      <c r="G23" s="41">
        <f t="shared" si="4"/>
        <v>-5.5140208923886913</v>
      </c>
      <c r="H23" s="46" t="s">
        <v>13</v>
      </c>
      <c r="I23" s="41">
        <f t="shared" si="5"/>
        <v>15.490146503999989</v>
      </c>
      <c r="J23" s="43"/>
      <c r="K23" s="43"/>
      <c r="M23" s="44"/>
      <c r="N23" s="45"/>
      <c r="O23" s="45"/>
      <c r="P23" s="45"/>
      <c r="Q23" s="33"/>
      <c r="R23" s="39"/>
    </row>
    <row r="24" spans="1:18" s="14" customFormat="1" x14ac:dyDescent="0.3">
      <c r="A24" s="72" t="s">
        <v>71</v>
      </c>
      <c r="B24" s="40">
        <f t="shared" si="3"/>
        <v>86.800000000000409</v>
      </c>
      <c r="C24" s="40">
        <f t="shared" si="3"/>
        <v>1228.1699999999964</v>
      </c>
      <c r="D24" s="40">
        <f t="shared" si="0"/>
        <v>228.31806399999951</v>
      </c>
      <c r="E24" s="41">
        <f t="shared" si="1"/>
        <v>14.14430406479997</v>
      </c>
      <c r="F24" s="41">
        <f t="shared" si="2"/>
        <v>21.004167396388681</v>
      </c>
      <c r="G24" s="41">
        <f t="shared" si="4"/>
        <v>-6.859863331588711</v>
      </c>
      <c r="H24" s="46" t="s">
        <v>13</v>
      </c>
      <c r="I24" s="41">
        <f t="shared" si="5"/>
        <v>14.14430406479997</v>
      </c>
      <c r="J24" s="43"/>
      <c r="K24" s="43"/>
      <c r="M24" s="44"/>
      <c r="N24" s="45"/>
      <c r="O24" s="45"/>
      <c r="P24" s="45"/>
      <c r="Q24" s="33"/>
      <c r="R24" s="39"/>
    </row>
    <row r="25" spans="1:18" s="14" customFormat="1" x14ac:dyDescent="0.3">
      <c r="A25" s="72" t="s">
        <v>72</v>
      </c>
      <c r="B25" s="40">
        <f t="shared" si="3"/>
        <v>20.079999999999927</v>
      </c>
      <c r="C25" s="40">
        <f t="shared" si="3"/>
        <v>777.10000000000218</v>
      </c>
      <c r="D25" s="40">
        <f t="shared" si="0"/>
        <v>97.040559999999104</v>
      </c>
      <c r="E25" s="41">
        <f t="shared" si="1"/>
        <v>6.0116626919999447</v>
      </c>
      <c r="F25" s="41">
        <f t="shared" si="2"/>
        <v>21.004167396388681</v>
      </c>
      <c r="G25" s="41">
        <f t="shared" si="4"/>
        <v>-14.992504704388736</v>
      </c>
      <c r="H25" s="46" t="s">
        <v>13</v>
      </c>
      <c r="I25" s="41">
        <f t="shared" si="5"/>
        <v>6.0116626919999447</v>
      </c>
      <c r="J25" s="43"/>
      <c r="K25" s="43"/>
      <c r="M25" s="44"/>
      <c r="N25" s="45"/>
      <c r="O25" s="45"/>
      <c r="P25" s="45"/>
      <c r="Q25" s="33"/>
      <c r="R25" s="39"/>
    </row>
    <row r="26" spans="1:18" s="14" customFormat="1" x14ac:dyDescent="0.3">
      <c r="A26" s="72" t="s">
        <v>73</v>
      </c>
      <c r="B26" s="40">
        <f t="shared" si="3"/>
        <v>4.9999999999954525E-2</v>
      </c>
      <c r="C26" s="40">
        <f t="shared" si="3"/>
        <v>811.64999999999964</v>
      </c>
      <c r="D26" s="40">
        <f t="shared" si="0"/>
        <v>66.831808000000464</v>
      </c>
      <c r="E26" s="41">
        <f t="shared" si="1"/>
        <v>4.1402305056000284</v>
      </c>
      <c r="F26" s="41">
        <f t="shared" si="2"/>
        <v>21.004167396388681</v>
      </c>
      <c r="G26" s="41">
        <f t="shared" si="4"/>
        <v>-16.863936890788651</v>
      </c>
      <c r="H26" s="58" t="s">
        <v>13</v>
      </c>
      <c r="I26" s="59">
        <f t="shared" si="5"/>
        <v>4.1402305056000284</v>
      </c>
      <c r="J26" s="43"/>
      <c r="K26" s="43"/>
      <c r="M26" s="44"/>
      <c r="N26" s="45"/>
      <c r="O26" s="45"/>
      <c r="P26" s="45"/>
      <c r="Q26" s="33"/>
      <c r="R26" s="39"/>
    </row>
    <row r="27" spans="1:18" s="14" customFormat="1" ht="15" thickBot="1" x14ac:dyDescent="0.35">
      <c r="G27" s="57"/>
      <c r="H27" s="60">
        <f>COUNTIF(H17:H26,"Y")</f>
        <v>10</v>
      </c>
      <c r="I27" s="61">
        <f>-PV($G$6,$G$7-H27,I26)</f>
        <v>39.029598849907273</v>
      </c>
      <c r="J27" s="56" t="s">
        <v>11</v>
      </c>
      <c r="K27" s="47"/>
      <c r="L27" s="39"/>
      <c r="M27" s="39"/>
      <c r="Q27" s="45"/>
    </row>
    <row r="28" spans="1:18" s="14" customFormat="1" ht="15" thickTop="1" x14ac:dyDescent="0.3">
      <c r="I28" s="47"/>
      <c r="J28" s="39"/>
      <c r="K28" s="47"/>
      <c r="L28" s="39"/>
      <c r="M28" s="39"/>
    </row>
    <row r="29" spans="1:18" s="14" customFormat="1" ht="43.2" x14ac:dyDescent="0.3">
      <c r="A29" s="34"/>
      <c r="B29" s="63" t="s">
        <v>16</v>
      </c>
      <c r="C29" s="63" t="s">
        <v>17</v>
      </c>
      <c r="D29" s="63" t="s">
        <v>18</v>
      </c>
      <c r="E29" s="63" t="s">
        <v>19</v>
      </c>
      <c r="F29" s="63" t="s">
        <v>20</v>
      </c>
      <c r="G29" s="63" t="s">
        <v>21</v>
      </c>
      <c r="H29" s="64" t="s">
        <v>28</v>
      </c>
      <c r="I29" s="64" t="s">
        <v>37</v>
      </c>
      <c r="K29" s="39"/>
      <c r="L29" s="39"/>
      <c r="M29" s="39"/>
    </row>
    <row r="30" spans="1:18" s="14" customFormat="1" x14ac:dyDescent="0.3">
      <c r="A30" s="4" t="s">
        <v>22</v>
      </c>
      <c r="B30" s="48">
        <f>NPV($G$6,F35:F43,F44+F45)/1000</f>
        <v>-16.928533249340699</v>
      </c>
      <c r="C30" s="48">
        <f>NPV($G$6,F49:F57,F58+F59)/1000</f>
        <v>-278.8634721584105</v>
      </c>
      <c r="D30" s="48">
        <f>NPV($G$6,F63:F71,F72+F73)/1000</f>
        <v>309.87139899375615</v>
      </c>
      <c r="E30" s="48">
        <f>NPV($G$6,F77:F85,F86+F87)/1000</f>
        <v>-58.556819635305978</v>
      </c>
      <c r="F30" s="48">
        <f>NPV($G$6,F91:F99,F100+F101)/1000</f>
        <v>326.3184002561826</v>
      </c>
      <c r="G30" s="49">
        <f>B30*G8+C30*G9+D30*G10+E30*G11+F30*G12</f>
        <v>56.368194841376308</v>
      </c>
      <c r="H30" s="18">
        <f>B12</f>
        <v>205.40081826869113</v>
      </c>
      <c r="I30" s="48">
        <f>G30-H30</f>
        <v>-149.03262342731483</v>
      </c>
    </row>
    <row r="31" spans="1:18" s="14" customFormat="1" x14ac:dyDescent="0.3">
      <c r="I31" s="27"/>
    </row>
    <row r="32" spans="1:18" s="14" customFormat="1" x14ac:dyDescent="0.3"/>
    <row r="33" spans="1:14" s="14" customFormat="1" ht="15.6" x14ac:dyDescent="0.3">
      <c r="A33" s="409" t="s">
        <v>52</v>
      </c>
      <c r="B33" s="410"/>
      <c r="C33" s="410"/>
      <c r="D33" s="410"/>
      <c r="E33" s="410"/>
      <c r="F33" s="411"/>
      <c r="H33" s="406" t="s">
        <v>59</v>
      </c>
      <c r="I33" s="406"/>
      <c r="J33" s="406"/>
      <c r="K33" s="406"/>
      <c r="L33" s="406"/>
    </row>
    <row r="34" spans="1:14" s="14" customFormat="1" ht="43.2" x14ac:dyDescent="0.3">
      <c r="A34" s="94" t="s">
        <v>5</v>
      </c>
      <c r="B34" s="51" t="s">
        <v>151</v>
      </c>
      <c r="C34" s="51" t="s">
        <v>152</v>
      </c>
      <c r="D34" s="51" t="s">
        <v>153</v>
      </c>
      <c r="E34" s="51" t="s">
        <v>12</v>
      </c>
      <c r="F34" s="51" t="s">
        <v>58</v>
      </c>
      <c r="H34" s="94" t="s">
        <v>5</v>
      </c>
      <c r="I34" s="51" t="s">
        <v>75</v>
      </c>
      <c r="J34" s="51" t="s">
        <v>51</v>
      </c>
      <c r="K34" s="50" t="s">
        <v>0</v>
      </c>
      <c r="L34" s="51" t="s">
        <v>58</v>
      </c>
    </row>
    <row r="35" spans="1:14" s="14" customFormat="1" x14ac:dyDescent="0.3">
      <c r="A35" s="72" t="s">
        <v>64</v>
      </c>
      <c r="B35" s="40">
        <f>Base!B32-'DoubleCircuit_BATS-BETS'!I35</f>
        <v>-17.209999999999923</v>
      </c>
      <c r="C35" s="40">
        <f>Base!C32-'DoubleCircuit_BATS-BETS'!J35</f>
        <v>-362.15999999999804</v>
      </c>
      <c r="D35" s="40">
        <f>Base!D32-'DoubleCircuit_BATS-BETS'!K35</f>
        <v>-170.44455999999991</v>
      </c>
      <c r="E35" s="2" t="str">
        <f t="shared" ref="E35:E44" si="6">H17</f>
        <v>Y</v>
      </c>
      <c r="F35" s="52">
        <f t="shared" ref="F35:F44" si="7">IF(E35="Y",D35*$G$5,-D35*$G$5)</f>
        <v>-10559.040491999995</v>
      </c>
      <c r="H35" s="72" t="s">
        <v>64</v>
      </c>
      <c r="I35" s="40">
        <v>817</v>
      </c>
      <c r="J35" s="40">
        <v>10604</v>
      </c>
      <c r="K35" s="40">
        <v>8256</v>
      </c>
      <c r="L35" s="40">
        <f t="shared" ref="L35:L44" si="8">K35*$G$5</f>
        <v>511459.2</v>
      </c>
      <c r="N35" s="53"/>
    </row>
    <row r="36" spans="1:14" s="14" customFormat="1" x14ac:dyDescent="0.3">
      <c r="A36" s="72" t="s">
        <v>65</v>
      </c>
      <c r="B36" s="40">
        <f>Base!B33-'DoubleCircuit_BATS-BETS'!I36</f>
        <v>-12.8599999999999</v>
      </c>
      <c r="C36" s="40">
        <f>Base!C33-'DoubleCircuit_BATS-BETS'!J36</f>
        <v>-187.46999999999935</v>
      </c>
      <c r="D36" s="40">
        <f>Base!D33-'DoubleCircuit_BATS-BETS'!K36</f>
        <v>-63.071520000000419</v>
      </c>
      <c r="E36" s="2" t="str">
        <f t="shared" si="6"/>
        <v>Y</v>
      </c>
      <c r="F36" s="52">
        <f t="shared" si="7"/>
        <v>-3907.2806640000263</v>
      </c>
      <c r="H36" s="72" t="s">
        <v>65</v>
      </c>
      <c r="I36" s="40">
        <v>863</v>
      </c>
      <c r="J36" s="40">
        <v>10340</v>
      </c>
      <c r="K36" s="40">
        <v>8048</v>
      </c>
      <c r="L36" s="40">
        <f t="shared" si="8"/>
        <v>498573.60000000003</v>
      </c>
    </row>
    <row r="37" spans="1:14" s="14" customFormat="1" x14ac:dyDescent="0.3">
      <c r="A37" s="72" t="s">
        <v>66</v>
      </c>
      <c r="B37" s="40">
        <f>Base!B34-'DoubleCircuit_BATS-BETS'!I37</f>
        <v>4.0600000000000591</v>
      </c>
      <c r="C37" s="40">
        <f>Base!C34-'DoubleCircuit_BATS-BETS'!J37</f>
        <v>-126.63999999999942</v>
      </c>
      <c r="D37" s="40">
        <f>Base!D34-'DoubleCircuit_BATS-BETS'!K37</f>
        <v>-22.259600000001228</v>
      </c>
      <c r="E37" s="2" t="str">
        <f t="shared" si="6"/>
        <v>Y</v>
      </c>
      <c r="F37" s="52">
        <f t="shared" si="7"/>
        <v>-1378.982220000076</v>
      </c>
      <c r="H37" s="72" t="s">
        <v>66</v>
      </c>
      <c r="I37" s="40">
        <v>936</v>
      </c>
      <c r="J37" s="40">
        <v>10587</v>
      </c>
      <c r="K37" s="40">
        <v>8251</v>
      </c>
      <c r="L37" s="40">
        <f t="shared" si="8"/>
        <v>511149.45</v>
      </c>
    </row>
    <row r="38" spans="1:14" s="14" customFormat="1" x14ac:dyDescent="0.3">
      <c r="A38" s="72" t="s">
        <v>67</v>
      </c>
      <c r="B38" s="40">
        <f>Base!B35-'DoubleCircuit_BATS-BETS'!I38</f>
        <v>-6.4399999999999409</v>
      </c>
      <c r="C38" s="40">
        <f>Base!C35-'DoubleCircuit_BATS-BETS'!J38</f>
        <v>-206.84999999999854</v>
      </c>
      <c r="D38" s="40">
        <f>Base!D35-'DoubleCircuit_BATS-BETS'!K38</f>
        <v>-23.430000000000291</v>
      </c>
      <c r="E38" s="2" t="str">
        <f t="shared" si="6"/>
        <v>Y</v>
      </c>
      <c r="F38" s="52">
        <f t="shared" si="7"/>
        <v>-1451.4885000000181</v>
      </c>
      <c r="H38" s="72" t="s">
        <v>67</v>
      </c>
      <c r="I38" s="40">
        <v>999</v>
      </c>
      <c r="J38" s="40">
        <v>10913</v>
      </c>
      <c r="K38" s="40">
        <v>8351</v>
      </c>
      <c r="L38" s="40">
        <f t="shared" si="8"/>
        <v>517344.45</v>
      </c>
    </row>
    <row r="39" spans="1:14" s="14" customFormat="1" x14ac:dyDescent="0.3">
      <c r="A39" s="72" t="s">
        <v>68</v>
      </c>
      <c r="B39" s="40">
        <f>Base!B36-'DoubleCircuit_BATS-BETS'!I39</f>
        <v>5.9400000000000546</v>
      </c>
      <c r="C39" s="40">
        <f>Base!C36-'DoubleCircuit_BATS-BETS'!J39</f>
        <v>9.2899999999990541</v>
      </c>
      <c r="D39" s="40">
        <f>Base!D36-'DoubleCircuit_BATS-BETS'!K39</f>
        <v>44.630079999998998</v>
      </c>
      <c r="E39" s="2" t="str">
        <f t="shared" si="6"/>
        <v>Y</v>
      </c>
      <c r="F39" s="52">
        <f t="shared" si="7"/>
        <v>2764.833455999938</v>
      </c>
      <c r="H39" s="72" t="s">
        <v>68</v>
      </c>
      <c r="I39" s="40">
        <v>1124</v>
      </c>
      <c r="J39" s="40">
        <v>11048</v>
      </c>
      <c r="K39" s="40">
        <v>8415</v>
      </c>
      <c r="L39" s="40">
        <f t="shared" si="8"/>
        <v>521309.25</v>
      </c>
    </row>
    <row r="40" spans="1:14" s="14" customFormat="1" x14ac:dyDescent="0.3">
      <c r="A40" s="72" t="s">
        <v>69</v>
      </c>
      <c r="B40" s="40">
        <f>Base!B37-'DoubleCircuit_BATS-BETS'!I40</f>
        <v>-87.189999999999827</v>
      </c>
      <c r="C40" s="40">
        <f>Base!C37-'DoubleCircuit_BATS-BETS'!J40</f>
        <v>48.31999999999789</v>
      </c>
      <c r="D40" s="40">
        <f>Base!D37-'DoubleCircuit_BATS-BETS'!K40</f>
        <v>78.932079999998678</v>
      </c>
      <c r="E40" s="2" t="str">
        <f t="shared" si="6"/>
        <v>Y</v>
      </c>
      <c r="F40" s="52">
        <f t="shared" si="7"/>
        <v>4889.8423559999183</v>
      </c>
      <c r="H40" s="72" t="s">
        <v>69</v>
      </c>
      <c r="I40" s="40">
        <v>1256</v>
      </c>
      <c r="J40" s="40">
        <v>11669</v>
      </c>
      <c r="K40" s="40">
        <v>8802</v>
      </c>
      <c r="L40" s="40">
        <f t="shared" si="8"/>
        <v>545283.9</v>
      </c>
    </row>
    <row r="41" spans="1:14" s="14" customFormat="1" x14ac:dyDescent="0.3">
      <c r="A41" s="72" t="s">
        <v>70</v>
      </c>
      <c r="B41" s="40">
        <f>Base!B38-'DoubleCircuit_BATS-BETS'!I41</f>
        <v>-176.65000000000009</v>
      </c>
      <c r="C41" s="40">
        <f>Base!C38-'DoubleCircuit_BATS-BETS'!J41</f>
        <v>189.22999999999956</v>
      </c>
      <c r="D41" s="40">
        <f>Base!D38-'DoubleCircuit_BATS-BETS'!K41</f>
        <v>176.45152000000053</v>
      </c>
      <c r="E41" s="2" t="str">
        <f t="shared" si="6"/>
        <v>Y</v>
      </c>
      <c r="F41" s="52">
        <f t="shared" si="7"/>
        <v>10931.171664000034</v>
      </c>
      <c r="H41" s="72" t="s">
        <v>70</v>
      </c>
      <c r="I41" s="40">
        <v>1393</v>
      </c>
      <c r="J41" s="40">
        <v>12920</v>
      </c>
      <c r="K41" s="40">
        <v>9294</v>
      </c>
      <c r="L41" s="40">
        <f t="shared" si="8"/>
        <v>575763.30000000005</v>
      </c>
    </row>
    <row r="42" spans="1:14" s="14" customFormat="1" x14ac:dyDescent="0.3">
      <c r="A42" s="72" t="s">
        <v>71</v>
      </c>
      <c r="B42" s="40">
        <f>Base!B39-'DoubleCircuit_BATS-BETS'!I42</f>
        <v>-255.78999999999996</v>
      </c>
      <c r="C42" s="40">
        <f>Base!C39-'DoubleCircuit_BATS-BETS'!J42</f>
        <v>193.40999999999804</v>
      </c>
      <c r="D42" s="40">
        <f>Base!D39-'DoubleCircuit_BATS-BETS'!K42</f>
        <v>172.82079999999769</v>
      </c>
      <c r="E42" s="2" t="str">
        <f t="shared" si="6"/>
        <v>Y</v>
      </c>
      <c r="F42" s="52">
        <f t="shared" si="7"/>
        <v>10706.248559999858</v>
      </c>
      <c r="H42" s="72" t="s">
        <v>71</v>
      </c>
      <c r="I42" s="40">
        <v>1528</v>
      </c>
      <c r="J42" s="40">
        <v>14279</v>
      </c>
      <c r="K42" s="40">
        <v>9832</v>
      </c>
      <c r="L42" s="40">
        <f t="shared" si="8"/>
        <v>609092.4</v>
      </c>
    </row>
    <row r="43" spans="1:14" s="14" customFormat="1" x14ac:dyDescent="0.3">
      <c r="A43" s="72" t="s">
        <v>72</v>
      </c>
      <c r="B43" s="40">
        <f>Base!B40-'DoubleCircuit_BATS-BETS'!I43</f>
        <v>-231.06999999999994</v>
      </c>
      <c r="C43" s="40">
        <f>Base!C40-'DoubleCircuit_BATS-BETS'!J43</f>
        <v>-14.730000000001382</v>
      </c>
      <c r="D43" s="40">
        <f>Base!D40-'DoubleCircuit_BATS-BETS'!K43</f>
        <v>49.379039999999804</v>
      </c>
      <c r="E43" s="2" t="str">
        <f t="shared" si="6"/>
        <v>Y</v>
      </c>
      <c r="F43" s="52">
        <f t="shared" si="7"/>
        <v>3059.0315279999882</v>
      </c>
      <c r="H43" s="72" t="s">
        <v>72</v>
      </c>
      <c r="I43" s="40">
        <v>1540</v>
      </c>
      <c r="J43" s="40">
        <v>15616</v>
      </c>
      <c r="K43" s="40">
        <v>10216</v>
      </c>
      <c r="L43" s="40">
        <f t="shared" si="8"/>
        <v>632881.20000000007</v>
      </c>
    </row>
    <row r="44" spans="1:14" s="14" customFormat="1" x14ac:dyDescent="0.3">
      <c r="A44" s="72" t="s">
        <v>73</v>
      </c>
      <c r="B44" s="40">
        <f>Base!B41-'DoubleCircuit_BATS-BETS'!I44</f>
        <v>-236.72000000000025</v>
      </c>
      <c r="C44" s="40">
        <f>Base!C41-'DoubleCircuit_BATS-BETS'!J44</f>
        <v>-358.47999999999956</v>
      </c>
      <c r="D44" s="40">
        <f>Base!D41-'DoubleCircuit_BATS-BETS'!K44</f>
        <v>-73.08943999999974</v>
      </c>
      <c r="E44" s="2" t="str">
        <f t="shared" si="6"/>
        <v>Y</v>
      </c>
      <c r="F44" s="52">
        <f t="shared" si="7"/>
        <v>-4527.8908079999837</v>
      </c>
      <c r="H44" s="72" t="s">
        <v>73</v>
      </c>
      <c r="I44" s="40">
        <v>1670</v>
      </c>
      <c r="J44" s="40">
        <v>18422</v>
      </c>
      <c r="K44" s="40">
        <v>11370</v>
      </c>
      <c r="L44" s="40">
        <f t="shared" si="8"/>
        <v>704371.5</v>
      </c>
    </row>
    <row r="45" spans="1:14" s="14" customFormat="1" ht="15" thickBot="1" x14ac:dyDescent="0.35">
      <c r="E45" s="60">
        <f>COUNTIF(E35:E44,"Y")</f>
        <v>10</v>
      </c>
      <c r="F45" s="62">
        <f>-PV($G$6,$G$7-7,F44)</f>
        <v>-43329.344806430076</v>
      </c>
      <c r="G45" s="55" t="s">
        <v>11</v>
      </c>
    </row>
    <row r="46" spans="1:14" s="14" customFormat="1" ht="15" thickTop="1" x14ac:dyDescent="0.3"/>
    <row r="47" spans="1:14" s="14" customFormat="1" ht="15.6" x14ac:dyDescent="0.3">
      <c r="A47" s="409" t="s">
        <v>56</v>
      </c>
      <c r="B47" s="410"/>
      <c r="C47" s="410"/>
      <c r="D47" s="410"/>
      <c r="E47" s="410"/>
      <c r="F47" s="411"/>
      <c r="H47" s="406" t="s">
        <v>60</v>
      </c>
      <c r="I47" s="406"/>
      <c r="J47" s="406"/>
      <c r="K47" s="406"/>
      <c r="L47" s="406"/>
    </row>
    <row r="48" spans="1:14" s="14" customFormat="1" ht="43.2" x14ac:dyDescent="0.3">
      <c r="A48" s="94" t="s">
        <v>5</v>
      </c>
      <c r="B48" s="51" t="s">
        <v>151</v>
      </c>
      <c r="C48" s="51" t="s">
        <v>152</v>
      </c>
      <c r="D48" s="51" t="s">
        <v>153</v>
      </c>
      <c r="E48" s="51" t="s">
        <v>12</v>
      </c>
      <c r="F48" s="51" t="s">
        <v>58</v>
      </c>
      <c r="H48" s="94" t="s">
        <v>5</v>
      </c>
      <c r="I48" s="51" t="s">
        <v>75</v>
      </c>
      <c r="J48" s="51" t="s">
        <v>51</v>
      </c>
      <c r="K48" s="50" t="s">
        <v>0</v>
      </c>
      <c r="L48" s="51" t="s">
        <v>58</v>
      </c>
    </row>
    <row r="49" spans="1:12" s="14" customFormat="1" x14ac:dyDescent="0.3">
      <c r="A49" s="72" t="s">
        <v>64</v>
      </c>
      <c r="B49" s="40">
        <f>Base!B46-'DoubleCircuit_BATS-BETS'!I49</f>
        <v>-13.069999999999936</v>
      </c>
      <c r="C49" s="40">
        <f>Base!C46-'DoubleCircuit_BATS-BETS'!J49</f>
        <v>-357.37999999999556</v>
      </c>
      <c r="D49" s="40">
        <f>Base!D46-'DoubleCircuit_BATS-BETS'!K49</f>
        <v>-168.08887999999752</v>
      </c>
      <c r="E49" s="2" t="str">
        <f>E35</f>
        <v>Y</v>
      </c>
      <c r="F49" s="52">
        <f t="shared" ref="F49:F58" si="9">IF(E49="Y",D49*$G$5,-D49*$G$5)</f>
        <v>-10413.106115999846</v>
      </c>
      <c r="H49" s="72" t="s">
        <v>64</v>
      </c>
      <c r="I49" s="40">
        <v>817.05</v>
      </c>
      <c r="J49" s="40">
        <v>10603.589999999998</v>
      </c>
      <c r="K49" s="40">
        <v>8255.6757599999983</v>
      </c>
      <c r="L49" s="40">
        <f t="shared" ref="L49:L58" si="10">K49*$G$5</f>
        <v>511439.11333199992</v>
      </c>
    </row>
    <row r="50" spans="1:12" s="14" customFormat="1" x14ac:dyDescent="0.3">
      <c r="A50" s="72" t="s">
        <v>65</v>
      </c>
      <c r="B50" s="40">
        <f>Base!B47-'DoubleCircuit_BATS-BETS'!I50</f>
        <v>-15.449999999999932</v>
      </c>
      <c r="C50" s="40">
        <f>Base!C47-'DoubleCircuit_BATS-BETS'!J50</f>
        <v>-252.34000000000015</v>
      </c>
      <c r="D50" s="40">
        <f>Base!D47-'DoubleCircuit_BATS-BETS'!K50</f>
        <v>-141.21664000000055</v>
      </c>
      <c r="E50" s="2" t="str">
        <f t="shared" ref="E50:E58" si="11">E36</f>
        <v>Y</v>
      </c>
      <c r="F50" s="52">
        <f t="shared" si="9"/>
        <v>-8748.370848000035</v>
      </c>
      <c r="H50" s="72" t="s">
        <v>65</v>
      </c>
      <c r="I50" s="40">
        <v>866.59</v>
      </c>
      <c r="J50" s="40">
        <v>10573</v>
      </c>
      <c r="K50" s="40">
        <v>8190.5571999999993</v>
      </c>
      <c r="L50" s="40">
        <f t="shared" si="10"/>
        <v>507405.01853999996</v>
      </c>
    </row>
    <row r="51" spans="1:12" s="14" customFormat="1" x14ac:dyDescent="0.3">
      <c r="A51" s="72" t="s">
        <v>66</v>
      </c>
      <c r="B51" s="40">
        <f>Base!B48-'DoubleCircuit_BATS-BETS'!I51</f>
        <v>-17.509999999999877</v>
      </c>
      <c r="C51" s="40">
        <f>Base!C48-'DoubleCircuit_BATS-BETS'!J51</f>
        <v>-351.94999999999891</v>
      </c>
      <c r="D51" s="40">
        <f>Base!D48-'DoubleCircuit_BATS-BETS'!K51</f>
        <v>-201.45391999999993</v>
      </c>
      <c r="E51" s="2" t="str">
        <f t="shared" si="11"/>
        <v>Y</v>
      </c>
      <c r="F51" s="52">
        <f t="shared" si="9"/>
        <v>-12480.070343999996</v>
      </c>
      <c r="H51" s="72" t="s">
        <v>66</v>
      </c>
      <c r="I51" s="40">
        <v>956.85</v>
      </c>
      <c r="J51" s="40">
        <v>11218.890000000001</v>
      </c>
      <c r="K51" s="40">
        <v>8590.3624799999998</v>
      </c>
      <c r="L51" s="40">
        <f t="shared" si="10"/>
        <v>532172.95563600003</v>
      </c>
    </row>
    <row r="52" spans="1:12" s="14" customFormat="1" x14ac:dyDescent="0.3">
      <c r="A52" s="72" t="s">
        <v>67</v>
      </c>
      <c r="B52" s="40">
        <f>Base!B49-'DoubleCircuit_BATS-BETS'!I52</f>
        <v>21.910000000000082</v>
      </c>
      <c r="C52" s="40">
        <f>Base!C49-'DoubleCircuit_BATS-BETS'!J52</f>
        <v>-367.28999999999905</v>
      </c>
      <c r="D52" s="40">
        <f>Base!D49-'DoubleCircuit_BATS-BETS'!K52</f>
        <v>-212.20031999999992</v>
      </c>
      <c r="E52" s="2" t="str">
        <f t="shared" si="11"/>
        <v>Y</v>
      </c>
      <c r="F52" s="52">
        <f t="shared" si="9"/>
        <v>-13145.809823999996</v>
      </c>
      <c r="H52" s="72" t="s">
        <v>67</v>
      </c>
      <c r="I52" s="40">
        <v>1034.3399999999999</v>
      </c>
      <c r="J52" s="40">
        <v>12063.37</v>
      </c>
      <c r="K52" s="40">
        <v>9097.9645600000003</v>
      </c>
      <c r="L52" s="40">
        <f t="shared" si="10"/>
        <v>563618.904492</v>
      </c>
    </row>
    <row r="53" spans="1:12" s="14" customFormat="1" x14ac:dyDescent="0.3">
      <c r="A53" s="72" t="s">
        <v>68</v>
      </c>
      <c r="B53" s="40">
        <f>Base!B50-'DoubleCircuit_BATS-BETS'!I53</f>
        <v>-44.8599999999999</v>
      </c>
      <c r="C53" s="40">
        <f>Base!C50-'DoubleCircuit_BATS-BETS'!J53</f>
        <v>-393.64000000000306</v>
      </c>
      <c r="D53" s="40">
        <f>Base!D50-'DoubleCircuit_BATS-BETS'!K53</f>
        <v>-220.489120000002</v>
      </c>
      <c r="E53" s="2" t="str">
        <f t="shared" si="11"/>
        <v>Y</v>
      </c>
      <c r="F53" s="52">
        <f t="shared" si="9"/>
        <v>-13659.300984000125</v>
      </c>
      <c r="H53" s="72" t="s">
        <v>68</v>
      </c>
      <c r="I53" s="40">
        <v>1200.46</v>
      </c>
      <c r="J53" s="40">
        <v>12886.140000000001</v>
      </c>
      <c r="K53" s="40">
        <v>9531.0720000000001</v>
      </c>
      <c r="L53" s="40">
        <f t="shared" si="10"/>
        <v>590449.91040000005</v>
      </c>
    </row>
    <row r="54" spans="1:12" s="14" customFormat="1" x14ac:dyDescent="0.3">
      <c r="A54" s="72" t="s">
        <v>69</v>
      </c>
      <c r="B54" s="40">
        <f>Base!B51-'DoubleCircuit_BATS-BETS'!I54</f>
        <v>-46.019999999999754</v>
      </c>
      <c r="C54" s="40">
        <f>Base!C51-'DoubleCircuit_BATS-BETS'!J54</f>
        <v>-226.97000000000116</v>
      </c>
      <c r="D54" s="40">
        <f>Base!D51-'DoubleCircuit_BATS-BETS'!K54</f>
        <v>-15.170239999999467</v>
      </c>
      <c r="E54" s="2" t="str">
        <f t="shared" si="11"/>
        <v>Y</v>
      </c>
      <c r="F54" s="52">
        <f t="shared" si="9"/>
        <v>-939.79636799996706</v>
      </c>
      <c r="H54" s="72" t="s">
        <v>69</v>
      </c>
      <c r="I54" s="40">
        <v>1429.4299999999998</v>
      </c>
      <c r="J54" s="40">
        <v>13535.36</v>
      </c>
      <c r="K54" s="40">
        <v>9823.1395999999986</v>
      </c>
      <c r="L54" s="40">
        <f t="shared" si="10"/>
        <v>608543.49821999995</v>
      </c>
    </row>
    <row r="55" spans="1:12" s="14" customFormat="1" x14ac:dyDescent="0.3">
      <c r="A55" s="72" t="s">
        <v>70</v>
      </c>
      <c r="B55" s="40">
        <f>Base!B52-'DoubleCircuit_BATS-BETS'!I55</f>
        <v>-115.18000000000006</v>
      </c>
      <c r="C55" s="40">
        <f>Base!C52-'DoubleCircuit_BATS-BETS'!J55</f>
        <v>-850.94000000000415</v>
      </c>
      <c r="D55" s="40">
        <f>Base!D52-'DoubleCircuit_BATS-BETS'!K55</f>
        <v>-349.45808000000216</v>
      </c>
      <c r="E55" s="2" t="str">
        <f t="shared" si="11"/>
        <v>Y</v>
      </c>
      <c r="F55" s="52">
        <f t="shared" si="9"/>
        <v>-21648.928056000135</v>
      </c>
      <c r="H55" s="72" t="s">
        <v>70</v>
      </c>
      <c r="I55" s="40">
        <v>1518.94</v>
      </c>
      <c r="J55" s="40">
        <v>15528.91</v>
      </c>
      <c r="K55" s="40">
        <v>10744.03528</v>
      </c>
      <c r="L55" s="40">
        <f t="shared" si="10"/>
        <v>665592.98559599998</v>
      </c>
    </row>
    <row r="56" spans="1:12" s="14" customFormat="1" x14ac:dyDescent="0.3">
      <c r="A56" s="72" t="s">
        <v>71</v>
      </c>
      <c r="B56" s="40">
        <f>Base!B53-'DoubleCircuit_BATS-BETS'!I56</f>
        <v>-289.21000000000004</v>
      </c>
      <c r="C56" s="40">
        <f>Base!C53-'DoubleCircuit_BATS-BETS'!J56</f>
        <v>-1290.6100000000006</v>
      </c>
      <c r="D56" s="40">
        <f>Base!D53-'DoubleCircuit_BATS-BETS'!K56</f>
        <v>-494.03800000000047</v>
      </c>
      <c r="E56" s="2" t="str">
        <f t="shared" si="11"/>
        <v>Y</v>
      </c>
      <c r="F56" s="52">
        <f t="shared" si="9"/>
        <v>-30605.654100000029</v>
      </c>
      <c r="H56" s="72" t="s">
        <v>71</v>
      </c>
      <c r="I56" s="40">
        <v>1730.72</v>
      </c>
      <c r="J56" s="40">
        <v>17807.989999999998</v>
      </c>
      <c r="K56" s="40">
        <v>11610.096079999999</v>
      </c>
      <c r="L56" s="40">
        <f t="shared" si="10"/>
        <v>719245.45215599996</v>
      </c>
    </row>
    <row r="57" spans="1:12" s="14" customFormat="1" x14ac:dyDescent="0.3">
      <c r="A57" s="72" t="s">
        <v>72</v>
      </c>
      <c r="B57" s="40">
        <f>Base!B54-'DoubleCircuit_BATS-BETS'!I57</f>
        <v>-441.58999999999969</v>
      </c>
      <c r="C57" s="40">
        <f>Base!C54-'DoubleCircuit_BATS-BETS'!J57</f>
        <v>-1739.3399999999929</v>
      </c>
      <c r="D57" s="40">
        <f>Base!D54-'DoubleCircuit_BATS-BETS'!K57</f>
        <v>-615.6201600000004</v>
      </c>
      <c r="E57" s="2" t="str">
        <f t="shared" si="11"/>
        <v>Y</v>
      </c>
      <c r="F57" s="52">
        <f t="shared" si="9"/>
        <v>-38137.668912000023</v>
      </c>
      <c r="H57" s="72" t="s">
        <v>72</v>
      </c>
      <c r="I57" s="40">
        <v>2107.4899999999998</v>
      </c>
      <c r="J57" s="40">
        <v>20904.569999999996</v>
      </c>
      <c r="K57" s="40">
        <v>12929.82288</v>
      </c>
      <c r="L57" s="40">
        <f t="shared" si="10"/>
        <v>801002.52741600003</v>
      </c>
    </row>
    <row r="58" spans="1:12" s="14" customFormat="1" x14ac:dyDescent="0.3">
      <c r="A58" s="72" t="s">
        <v>73</v>
      </c>
      <c r="B58" s="40">
        <f>Base!B55-'DoubleCircuit_BATS-BETS'!I58</f>
        <v>-297.28999999999996</v>
      </c>
      <c r="C58" s="40">
        <f>Base!C55-'DoubleCircuit_BATS-BETS'!J58</f>
        <v>-2189.4299999999967</v>
      </c>
      <c r="D58" s="40">
        <f>Base!D55-'DoubleCircuit_BATS-BETS'!K58</f>
        <v>-765.46967999999833</v>
      </c>
      <c r="E58" s="2" t="str">
        <f t="shared" si="11"/>
        <v>Y</v>
      </c>
      <c r="F58" s="52">
        <f t="shared" si="9"/>
        <v>-47420.846675999899</v>
      </c>
      <c r="H58" s="72" t="s">
        <v>73</v>
      </c>
      <c r="I58" s="40">
        <v>2247.12</v>
      </c>
      <c r="J58" s="40">
        <v>25346.469999999998</v>
      </c>
      <c r="K58" s="40">
        <v>14757.797439999998</v>
      </c>
      <c r="L58" s="40">
        <f t="shared" si="10"/>
        <v>914245.55140799994</v>
      </c>
    </row>
    <row r="59" spans="1:12" s="14" customFormat="1" ht="15" thickBot="1" x14ac:dyDescent="0.35">
      <c r="E59" s="60">
        <f>COUNTIF(E49:E58,"Y")</f>
        <v>10</v>
      </c>
      <c r="F59" s="62">
        <f>-PV($G$6,$G$7-7,F58)</f>
        <v>-453790.58457128331</v>
      </c>
      <c r="G59" s="55" t="s">
        <v>11</v>
      </c>
    </row>
    <row r="60" spans="1:12" s="14" customFormat="1" ht="15" thickTop="1" x14ac:dyDescent="0.3"/>
    <row r="61" spans="1:12" s="14" customFormat="1" ht="15.6" x14ac:dyDescent="0.3">
      <c r="A61" s="409" t="s">
        <v>55</v>
      </c>
      <c r="B61" s="410"/>
      <c r="C61" s="410"/>
      <c r="D61" s="410"/>
      <c r="E61" s="410"/>
      <c r="F61" s="411"/>
      <c r="H61" s="406" t="s">
        <v>61</v>
      </c>
      <c r="I61" s="406"/>
      <c r="J61" s="406"/>
      <c r="K61" s="406"/>
      <c r="L61" s="406"/>
    </row>
    <row r="62" spans="1:12" s="14" customFormat="1" ht="43.2" x14ac:dyDescent="0.3">
      <c r="A62" s="94" t="s">
        <v>5</v>
      </c>
      <c r="B62" s="51" t="s">
        <v>151</v>
      </c>
      <c r="C62" s="51" t="s">
        <v>152</v>
      </c>
      <c r="D62" s="51" t="s">
        <v>153</v>
      </c>
      <c r="E62" s="51" t="s">
        <v>12</v>
      </c>
      <c r="F62" s="51" t="s">
        <v>58</v>
      </c>
      <c r="H62" s="94" t="s">
        <v>5</v>
      </c>
      <c r="I62" s="51" t="s">
        <v>75</v>
      </c>
      <c r="J62" s="51" t="s">
        <v>51</v>
      </c>
      <c r="K62" s="50" t="s">
        <v>0</v>
      </c>
      <c r="L62" s="51" t="s">
        <v>58</v>
      </c>
    </row>
    <row r="63" spans="1:12" s="14" customFormat="1" x14ac:dyDescent="0.3">
      <c r="A63" s="72" t="s">
        <v>64</v>
      </c>
      <c r="B63" s="40">
        <f>Base!B60-'DoubleCircuit_BATS-BETS'!I63</f>
        <v>-1.1700000000000728</v>
      </c>
      <c r="C63" s="40">
        <f>Base!C60-'DoubleCircuit_BATS-BETS'!J63</f>
        <v>-24.190000000002328</v>
      </c>
      <c r="D63" s="40">
        <f>Base!D60-'DoubleCircuit_BATS-BETS'!K63</f>
        <v>97.394239999999627</v>
      </c>
      <c r="E63" s="2" t="str">
        <f>E35</f>
        <v>Y</v>
      </c>
      <c r="F63" s="52">
        <f t="shared" ref="F63:F72" si="12">IF(E63="Y",D63*$G$5,-D63*$G$5)</f>
        <v>6033.5731679999772</v>
      </c>
      <c r="H63" s="72" t="s">
        <v>64</v>
      </c>
      <c r="I63" s="40">
        <v>767.65</v>
      </c>
      <c r="J63" s="40">
        <v>9962.2700000000023</v>
      </c>
      <c r="K63" s="40">
        <v>7811.2541600000004</v>
      </c>
      <c r="L63" s="40">
        <f t="shared" ref="L63:L72" si="13">K63*$G$5</f>
        <v>483907.19521200005</v>
      </c>
    </row>
    <row r="64" spans="1:12" s="14" customFormat="1" x14ac:dyDescent="0.3">
      <c r="A64" s="72" t="s">
        <v>65</v>
      </c>
      <c r="B64" s="40">
        <f>Base!B61-'DoubleCircuit_BATS-BETS'!I64</f>
        <v>15.240000000000009</v>
      </c>
      <c r="C64" s="40">
        <f>Base!C61-'DoubleCircuit_BATS-BETS'!J64</f>
        <v>98.100000000000364</v>
      </c>
      <c r="D64" s="40">
        <f>Base!D61-'DoubleCircuit_BATS-BETS'!K64</f>
        <v>186.90263999999934</v>
      </c>
      <c r="E64" s="2" t="str">
        <f t="shared" ref="E64:E72" si="14">E36</f>
        <v>Y</v>
      </c>
      <c r="F64" s="52">
        <f t="shared" si="12"/>
        <v>11578.61854799996</v>
      </c>
      <c r="H64" s="72" t="s">
        <v>65</v>
      </c>
      <c r="I64" s="40">
        <v>784.3</v>
      </c>
      <c r="J64" s="40">
        <v>9715.31</v>
      </c>
      <c r="K64" s="40">
        <v>7643.5337600000003</v>
      </c>
      <c r="L64" s="40">
        <f t="shared" si="13"/>
        <v>473516.91643200006</v>
      </c>
    </row>
    <row r="65" spans="1:15" s="14" customFormat="1" x14ac:dyDescent="0.3">
      <c r="A65" s="72" t="s">
        <v>66</v>
      </c>
      <c r="B65" s="40">
        <f>Base!B62-'DoubleCircuit_BATS-BETS'!I65</f>
        <v>25.450000000000045</v>
      </c>
      <c r="C65" s="40">
        <f>Base!C62-'DoubleCircuit_BATS-BETS'!J65</f>
        <v>259.57000000000153</v>
      </c>
      <c r="D65" s="40">
        <f>Base!D62-'DoubleCircuit_BATS-BETS'!K65</f>
        <v>260.69056000000182</v>
      </c>
      <c r="E65" s="2" t="str">
        <f t="shared" si="14"/>
        <v>Y</v>
      </c>
      <c r="F65" s="52">
        <f t="shared" si="12"/>
        <v>16149.780192000113</v>
      </c>
      <c r="H65" s="72" t="s">
        <v>66</v>
      </c>
      <c r="I65" s="40">
        <v>799.96</v>
      </c>
      <c r="J65" s="40">
        <v>9588.0399999999991</v>
      </c>
      <c r="K65" s="40">
        <v>7626.5310399999989</v>
      </c>
      <c r="L65" s="40">
        <f t="shared" si="13"/>
        <v>472463.59792799997</v>
      </c>
    </row>
    <row r="66" spans="1:15" s="14" customFormat="1" x14ac:dyDescent="0.3">
      <c r="A66" s="72" t="s">
        <v>67</v>
      </c>
      <c r="B66" s="40">
        <f>Base!B63-'DoubleCircuit_BATS-BETS'!I66</f>
        <v>26.100000000000023</v>
      </c>
      <c r="C66" s="40">
        <f>Base!C63-'DoubleCircuit_BATS-BETS'!J66</f>
        <v>350.2300000000032</v>
      </c>
      <c r="D66" s="40">
        <f>Base!D63-'DoubleCircuit_BATS-BETS'!K66</f>
        <v>335.71840000000066</v>
      </c>
      <c r="E66" s="2" t="str">
        <f t="shared" si="14"/>
        <v>Y</v>
      </c>
      <c r="F66" s="52">
        <f t="shared" si="12"/>
        <v>20797.75488000004</v>
      </c>
      <c r="H66" s="72" t="s">
        <v>67</v>
      </c>
      <c r="I66" s="40">
        <v>826.79</v>
      </c>
      <c r="J66" s="40">
        <v>9601.99</v>
      </c>
      <c r="K66" s="40">
        <v>7612.6340799999998</v>
      </c>
      <c r="L66" s="40">
        <f t="shared" si="13"/>
        <v>471602.68125600001</v>
      </c>
    </row>
    <row r="67" spans="1:15" s="14" customFormat="1" x14ac:dyDescent="0.3">
      <c r="A67" s="72" t="s">
        <v>68</v>
      </c>
      <c r="B67" s="40">
        <f>Base!B64-'DoubleCircuit_BATS-BETS'!I67</f>
        <v>93.270000000000323</v>
      </c>
      <c r="C67" s="40">
        <f>Base!C64-'DoubleCircuit_BATS-BETS'!J67</f>
        <v>494.57000000000153</v>
      </c>
      <c r="D67" s="40">
        <f>Base!D64-'DoubleCircuit_BATS-BETS'!K67</f>
        <v>446.3859199999988</v>
      </c>
      <c r="E67" s="2" t="str">
        <f t="shared" si="14"/>
        <v>Y</v>
      </c>
      <c r="F67" s="52">
        <f t="shared" si="12"/>
        <v>27653.607743999928</v>
      </c>
      <c r="H67" s="72" t="s">
        <v>68</v>
      </c>
      <c r="I67" s="40">
        <v>872.42999999999984</v>
      </c>
      <c r="J67" s="40">
        <v>9753.07</v>
      </c>
      <c r="K67" s="40">
        <v>7641.1067199999998</v>
      </c>
      <c r="L67" s="40">
        <f t="shared" si="13"/>
        <v>473366.56130400003</v>
      </c>
    </row>
    <row r="68" spans="1:15" s="14" customFormat="1" x14ac:dyDescent="0.3">
      <c r="A68" s="72" t="s">
        <v>69</v>
      </c>
      <c r="B68" s="40">
        <f>Base!B65-'DoubleCircuit_BATS-BETS'!I68</f>
        <v>125.29999999999984</v>
      </c>
      <c r="C68" s="40">
        <f>Base!C65-'DoubleCircuit_BATS-BETS'!J68</f>
        <v>687.17000000000189</v>
      </c>
      <c r="D68" s="40">
        <f>Base!D65-'DoubleCircuit_BATS-BETS'!K68</f>
        <v>651.99415999999928</v>
      </c>
      <c r="E68" s="2" t="str">
        <f t="shared" si="14"/>
        <v>Y</v>
      </c>
      <c r="F68" s="52">
        <f t="shared" si="12"/>
        <v>40391.038211999956</v>
      </c>
      <c r="H68" s="72" t="s">
        <v>69</v>
      </c>
      <c r="I68" s="40">
        <v>881.08</v>
      </c>
      <c r="J68" s="40">
        <v>9835.7699999999986</v>
      </c>
      <c r="K68" s="40">
        <v>7643.1333599999989</v>
      </c>
      <c r="L68" s="40">
        <f t="shared" si="13"/>
        <v>473492.11165199993</v>
      </c>
    </row>
    <row r="69" spans="1:15" s="14" customFormat="1" x14ac:dyDescent="0.3">
      <c r="A69" s="72" t="s">
        <v>70</v>
      </c>
      <c r="B69" s="40">
        <f>Base!B66-'DoubleCircuit_BATS-BETS'!I69</f>
        <v>83.370000000000118</v>
      </c>
      <c r="C69" s="40">
        <f>Base!C66-'DoubleCircuit_BATS-BETS'!J69</f>
        <v>713.55999999999767</v>
      </c>
      <c r="D69" s="40">
        <f>Base!D66-'DoubleCircuit_BATS-BETS'!K69</f>
        <v>647.69751999999971</v>
      </c>
      <c r="E69" s="2" t="str">
        <f t="shared" si="14"/>
        <v>Y</v>
      </c>
      <c r="F69" s="52">
        <f t="shared" si="12"/>
        <v>40124.861363999982</v>
      </c>
      <c r="H69" s="72" t="s">
        <v>70</v>
      </c>
      <c r="I69" s="40">
        <v>984.19</v>
      </c>
      <c r="J69" s="40">
        <v>10331.180000000002</v>
      </c>
      <c r="K69" s="40">
        <v>7883.2366399999992</v>
      </c>
      <c r="L69" s="40">
        <f t="shared" si="13"/>
        <v>488366.50984799996</v>
      </c>
    </row>
    <row r="70" spans="1:15" s="14" customFormat="1" x14ac:dyDescent="0.3">
      <c r="A70" s="72" t="s">
        <v>71</v>
      </c>
      <c r="B70" s="40">
        <f>Base!B67-'DoubleCircuit_BATS-BETS'!I70</f>
        <v>24.309999999999945</v>
      </c>
      <c r="C70" s="40">
        <f>Base!C67-'DoubleCircuit_BATS-BETS'!J70</f>
        <v>751.28000000000065</v>
      </c>
      <c r="D70" s="40">
        <f>Base!D67-'DoubleCircuit_BATS-BETS'!K70</f>
        <v>673.70384000000013</v>
      </c>
      <c r="E70" s="2" t="str">
        <f t="shared" si="14"/>
        <v>Y</v>
      </c>
      <c r="F70" s="52">
        <f t="shared" si="12"/>
        <v>41735.952888000007</v>
      </c>
      <c r="H70" s="72" t="s">
        <v>71</v>
      </c>
      <c r="I70" s="40">
        <v>1074.81</v>
      </c>
      <c r="J70" s="40">
        <v>10783.33</v>
      </c>
      <c r="K70" s="40">
        <v>8090.4433599999993</v>
      </c>
      <c r="L70" s="40">
        <f t="shared" si="13"/>
        <v>501202.96615200001</v>
      </c>
    </row>
    <row r="71" spans="1:15" s="14" customFormat="1" x14ac:dyDescent="0.3">
      <c r="A71" s="72" t="s">
        <v>72</v>
      </c>
      <c r="B71" s="40">
        <f>Base!B68-'DoubleCircuit_BATS-BETS'!I71</f>
        <v>-17.539999999999964</v>
      </c>
      <c r="C71" s="40">
        <f>Base!C68-'DoubleCircuit_BATS-BETS'!J71</f>
        <v>685.19999999999891</v>
      </c>
      <c r="D71" s="40">
        <f>Base!D68-'DoubleCircuit_BATS-BETS'!K71</f>
        <v>621.41159999999945</v>
      </c>
      <c r="E71" s="2" t="str">
        <f t="shared" si="14"/>
        <v>Y</v>
      </c>
      <c r="F71" s="52">
        <f t="shared" si="12"/>
        <v>38496.448619999966</v>
      </c>
      <c r="H71" s="72" t="s">
        <v>72</v>
      </c>
      <c r="I71" s="40">
        <v>1060.6200000000001</v>
      </c>
      <c r="J71" s="40">
        <v>10805.64</v>
      </c>
      <c r="K71" s="40">
        <v>7945.5393599999989</v>
      </c>
      <c r="L71" s="40">
        <f t="shared" si="13"/>
        <v>492226.16335199995</v>
      </c>
    </row>
    <row r="72" spans="1:15" s="14" customFormat="1" x14ac:dyDescent="0.3">
      <c r="A72" s="72" t="s">
        <v>73</v>
      </c>
      <c r="B72" s="40">
        <f>Base!B69-'DoubleCircuit_BATS-BETS'!I72</f>
        <v>-103.11999999999989</v>
      </c>
      <c r="C72" s="40">
        <f>Base!C69-'DoubleCircuit_BATS-BETS'!J72</f>
        <v>811.64999999999964</v>
      </c>
      <c r="D72" s="40">
        <f>Base!D69-'DoubleCircuit_BATS-BETS'!K72</f>
        <v>681.81816000000072</v>
      </c>
      <c r="E72" s="2" t="str">
        <f t="shared" si="14"/>
        <v>Y</v>
      </c>
      <c r="F72" s="52">
        <f t="shared" si="12"/>
        <v>42238.63501200005</v>
      </c>
      <c r="H72" s="72" t="s">
        <v>73</v>
      </c>
      <c r="I72" s="40">
        <v>1187.24</v>
      </c>
      <c r="J72" s="40">
        <v>11690.88</v>
      </c>
      <c r="K72" s="40">
        <v>8256.3705599999994</v>
      </c>
      <c r="L72" s="40">
        <f t="shared" si="13"/>
        <v>511482.15619199997</v>
      </c>
    </row>
    <row r="73" spans="1:15" s="14" customFormat="1" ht="15" thickBot="1" x14ac:dyDescent="0.35">
      <c r="E73" s="60">
        <f>COUNTIF(E63:E72,"Y")</f>
        <v>10</v>
      </c>
      <c r="F73" s="62">
        <f>-PV($G$6,$G$7-7,F72)</f>
        <v>404199.76059367607</v>
      </c>
      <c r="G73" s="55" t="s">
        <v>11</v>
      </c>
    </row>
    <row r="74" spans="1:15" s="14" customFormat="1" ht="15" thickTop="1" x14ac:dyDescent="0.3"/>
    <row r="75" spans="1:15" s="14" customFormat="1" ht="15.6" x14ac:dyDescent="0.3">
      <c r="A75" s="409" t="s">
        <v>54</v>
      </c>
      <c r="B75" s="410"/>
      <c r="C75" s="410"/>
      <c r="D75" s="410"/>
      <c r="E75" s="410"/>
      <c r="F75" s="411"/>
      <c r="H75" s="406" t="s">
        <v>62</v>
      </c>
      <c r="I75" s="406"/>
      <c r="J75" s="406"/>
      <c r="K75" s="406"/>
      <c r="L75" s="406"/>
    </row>
    <row r="76" spans="1:15" s="14" customFormat="1" ht="43.2" x14ac:dyDescent="0.3">
      <c r="A76" s="94" t="s">
        <v>5</v>
      </c>
      <c r="B76" s="51" t="s">
        <v>151</v>
      </c>
      <c r="C76" s="51" t="s">
        <v>152</v>
      </c>
      <c r="D76" s="51" t="s">
        <v>153</v>
      </c>
      <c r="E76" s="51" t="s">
        <v>12</v>
      </c>
      <c r="F76" s="51" t="s">
        <v>58</v>
      </c>
      <c r="H76" s="94" t="s">
        <v>5</v>
      </c>
      <c r="I76" s="51" t="s">
        <v>75</v>
      </c>
      <c r="J76" s="51" t="s">
        <v>51</v>
      </c>
      <c r="K76" s="50" t="s">
        <v>0</v>
      </c>
      <c r="L76" s="51" t="s">
        <v>58</v>
      </c>
    </row>
    <row r="77" spans="1:15" s="14" customFormat="1" x14ac:dyDescent="0.3">
      <c r="A77" s="72" t="s">
        <v>64</v>
      </c>
      <c r="B77" s="40">
        <f>Base!B74-'DoubleCircuit_BATS-BETS'!I77</f>
        <v>5.0600000000000591</v>
      </c>
      <c r="C77" s="40">
        <f>Base!C74-'DoubleCircuit_BATS-BETS'!J77</f>
        <v>-219.38000000000102</v>
      </c>
      <c r="D77" s="40">
        <f>Base!D74-'DoubleCircuit_BATS-BETS'!K77</f>
        <v>-112.5648799999999</v>
      </c>
      <c r="E77" s="2" t="str">
        <f>E35</f>
        <v>Y</v>
      </c>
      <c r="F77" s="52">
        <f t="shared" ref="F77:F86" si="15">IF(E77="Y",D77*$G$5,-D77*$G$5)</f>
        <v>-6973.3943159999944</v>
      </c>
      <c r="H77" s="72" t="s">
        <v>64</v>
      </c>
      <c r="I77" s="40">
        <v>761.41999999999985</v>
      </c>
      <c r="J77" s="40">
        <v>10157.460000000001</v>
      </c>
      <c r="K77" s="40">
        <v>8021.2132799999999</v>
      </c>
      <c r="L77" s="40">
        <f t="shared" ref="L77:L86" si="16">K77*$G$5</f>
        <v>496914.16269600001</v>
      </c>
    </row>
    <row r="78" spans="1:15" s="14" customFormat="1" x14ac:dyDescent="0.3">
      <c r="A78" s="72" t="s">
        <v>65</v>
      </c>
      <c r="B78" s="40">
        <f>Base!B75-'DoubleCircuit_BATS-BETS'!I78</f>
        <v>-2.5</v>
      </c>
      <c r="C78" s="40">
        <f>Base!C75-'DoubleCircuit_BATS-BETS'!J78</f>
        <v>-153.78000000000065</v>
      </c>
      <c r="D78" s="40">
        <f>Base!D75-'DoubleCircuit_BATS-BETS'!K78</f>
        <v>-88.752720000000409</v>
      </c>
      <c r="E78" s="2" t="str">
        <f t="shared" ref="E78:E86" si="17">E36</f>
        <v>Y</v>
      </c>
      <c r="F78" s="52">
        <f t="shared" si="15"/>
        <v>-5498.2310040000257</v>
      </c>
      <c r="H78" s="72" t="s">
        <v>65</v>
      </c>
      <c r="I78" s="40">
        <v>797.23</v>
      </c>
      <c r="J78" s="40">
        <v>10099.33</v>
      </c>
      <c r="K78" s="40">
        <v>7975.6321599999992</v>
      </c>
      <c r="L78" s="40">
        <f t="shared" si="16"/>
        <v>494090.412312</v>
      </c>
    </row>
    <row r="79" spans="1:15" s="14" customFormat="1" x14ac:dyDescent="0.3">
      <c r="A79" s="72" t="s">
        <v>66</v>
      </c>
      <c r="B79" s="40">
        <f>Base!B76-'DoubleCircuit_BATS-BETS'!I79</f>
        <v>0.19000000000005457</v>
      </c>
      <c r="C79" s="40">
        <f>Base!C76-'DoubleCircuit_BATS-BETS'!J79</f>
        <v>-173.35000000000036</v>
      </c>
      <c r="D79" s="40">
        <f>Base!D76-'DoubleCircuit_BATS-BETS'!K79</f>
        <v>-103.8752800000002</v>
      </c>
      <c r="E79" s="2" t="str">
        <f t="shared" si="17"/>
        <v>Y</v>
      </c>
      <c r="F79" s="52">
        <f t="shared" si="15"/>
        <v>-6435.0735960000129</v>
      </c>
      <c r="H79" s="72" t="s">
        <v>66</v>
      </c>
      <c r="I79" s="40">
        <v>821.84</v>
      </c>
      <c r="J79" s="40">
        <v>10307.720000000001</v>
      </c>
      <c r="K79" s="40">
        <v>8117.7212</v>
      </c>
      <c r="L79" s="40">
        <f t="shared" si="16"/>
        <v>502892.82834000001</v>
      </c>
      <c r="N79" s="39"/>
      <c r="O79" s="39"/>
    </row>
    <row r="80" spans="1:15" s="14" customFormat="1" x14ac:dyDescent="0.3">
      <c r="A80" s="72" t="s">
        <v>67</v>
      </c>
      <c r="B80" s="40">
        <f>Base!B77-'DoubleCircuit_BATS-BETS'!I80</f>
        <v>40.910000000000082</v>
      </c>
      <c r="C80" s="40">
        <f>Base!C77-'DoubleCircuit_BATS-BETS'!J80</f>
        <v>-92.56999999999789</v>
      </c>
      <c r="D80" s="40">
        <f>Base!D77-'DoubleCircuit_BATS-BETS'!K80</f>
        <v>-65.64871999999923</v>
      </c>
      <c r="E80" s="2" t="str">
        <f t="shared" si="17"/>
        <v>Y</v>
      </c>
      <c r="F80" s="52">
        <f t="shared" si="15"/>
        <v>-4066.9382039999523</v>
      </c>
      <c r="H80" s="72" t="s">
        <v>67</v>
      </c>
      <c r="I80" s="40">
        <v>870.02999999999986</v>
      </c>
      <c r="J80" s="40">
        <v>10826.37</v>
      </c>
      <c r="K80" s="40">
        <v>8465.5588800000005</v>
      </c>
      <c r="L80" s="40">
        <f t="shared" si="16"/>
        <v>524441.37261600001</v>
      </c>
      <c r="N80" s="45"/>
      <c r="O80" s="54"/>
    </row>
    <row r="81" spans="1:15" s="14" customFormat="1" x14ac:dyDescent="0.3">
      <c r="A81" s="72" t="s">
        <v>68</v>
      </c>
      <c r="B81" s="40">
        <f>Base!B78-'DoubleCircuit_BATS-BETS'!I81</f>
        <v>-20.300000000000068</v>
      </c>
      <c r="C81" s="40">
        <f>Base!C78-'DoubleCircuit_BATS-BETS'!J81</f>
        <v>-132.61999999999716</v>
      </c>
      <c r="D81" s="40">
        <f>Base!D78-'DoubleCircuit_BATS-BETS'!K81</f>
        <v>-74.49007999999958</v>
      </c>
      <c r="E81" s="2" t="str">
        <f t="shared" si="17"/>
        <v>Y</v>
      </c>
      <c r="F81" s="52">
        <f t="shared" si="15"/>
        <v>-4614.6604559999741</v>
      </c>
      <c r="H81" s="72" t="s">
        <v>68</v>
      </c>
      <c r="I81" s="40">
        <v>1013.8700000000001</v>
      </c>
      <c r="J81" s="40">
        <v>11361.81</v>
      </c>
      <c r="K81" s="40">
        <v>8774.1933599999993</v>
      </c>
      <c r="L81" s="40">
        <f t="shared" si="16"/>
        <v>543561.27865200001</v>
      </c>
      <c r="N81" s="45"/>
      <c r="O81" s="54"/>
    </row>
    <row r="82" spans="1:15" s="14" customFormat="1" x14ac:dyDescent="0.3">
      <c r="A82" s="72" t="s">
        <v>69</v>
      </c>
      <c r="B82" s="40">
        <f>Base!B79-'DoubleCircuit_BATS-BETS'!I82</f>
        <v>14.570000000000164</v>
      </c>
      <c r="C82" s="40">
        <f>Base!C79-'DoubleCircuit_BATS-BETS'!J82</f>
        <v>23.770000000000437</v>
      </c>
      <c r="D82" s="40">
        <f>Base!D79-'DoubleCircuit_BATS-BETS'!K82</f>
        <v>101.06776000000173</v>
      </c>
      <c r="E82" s="2" t="str">
        <f t="shared" si="17"/>
        <v>Y</v>
      </c>
      <c r="F82" s="52">
        <f t="shared" si="15"/>
        <v>6261.1477320001077</v>
      </c>
      <c r="H82" s="72" t="s">
        <v>69</v>
      </c>
      <c r="I82" s="40">
        <v>1085.1499999999999</v>
      </c>
      <c r="J82" s="40">
        <v>11478.3</v>
      </c>
      <c r="K82" s="40">
        <v>8869.6015199999983</v>
      </c>
      <c r="L82" s="40">
        <f t="shared" si="16"/>
        <v>549471.81416399986</v>
      </c>
      <c r="N82" s="39"/>
      <c r="O82" s="39"/>
    </row>
    <row r="83" spans="1:15" s="14" customFormat="1" x14ac:dyDescent="0.3">
      <c r="A83" s="72" t="s">
        <v>70</v>
      </c>
      <c r="B83" s="40">
        <f>Base!B80-'DoubleCircuit_BATS-BETS'!I83</f>
        <v>-37.020000000000209</v>
      </c>
      <c r="C83" s="40">
        <f>Base!C80-'DoubleCircuit_BATS-BETS'!J83</f>
        <v>-262.7400000000016</v>
      </c>
      <c r="D83" s="40">
        <f>Base!D80-'DoubleCircuit_BATS-BETS'!K83</f>
        <v>-123.1850400000003</v>
      </c>
      <c r="E83" s="2" t="str">
        <f t="shared" si="17"/>
        <v>Y</v>
      </c>
      <c r="F83" s="52">
        <f t="shared" si="15"/>
        <v>-7631.3132280000191</v>
      </c>
      <c r="H83" s="72" t="s">
        <v>70</v>
      </c>
      <c r="I83" s="40">
        <v>1161.67</v>
      </c>
      <c r="J83" s="40">
        <v>12361.279999999999</v>
      </c>
      <c r="K83" s="40">
        <v>9343.9111999999986</v>
      </c>
      <c r="L83" s="40">
        <f t="shared" si="16"/>
        <v>578855.29883999994</v>
      </c>
      <c r="N83" s="39"/>
      <c r="O83" s="39"/>
    </row>
    <row r="84" spans="1:15" s="14" customFormat="1" x14ac:dyDescent="0.3">
      <c r="A84" s="72" t="s">
        <v>71</v>
      </c>
      <c r="B84" s="40">
        <f>Base!B81-'DoubleCircuit_BATS-BETS'!I84</f>
        <v>-88.250000000000227</v>
      </c>
      <c r="C84" s="40">
        <f>Base!C81-'DoubleCircuit_BATS-BETS'!J84</f>
        <v>-411.62999999999556</v>
      </c>
      <c r="D84" s="40">
        <f>Base!D81-'DoubleCircuit_BATS-BETS'!K84</f>
        <v>-173.31959999999708</v>
      </c>
      <c r="E84" s="2" t="str">
        <f t="shared" si="17"/>
        <v>Y</v>
      </c>
      <c r="F84" s="52">
        <f t="shared" si="15"/>
        <v>-10737.149219999819</v>
      </c>
      <c r="H84" s="72" t="s">
        <v>71</v>
      </c>
      <c r="I84" s="40">
        <v>1391.2300000000002</v>
      </c>
      <c r="J84" s="40">
        <v>13133.699999999999</v>
      </c>
      <c r="K84" s="40">
        <v>9665.6433599999982</v>
      </c>
      <c r="L84" s="40">
        <f t="shared" si="16"/>
        <v>598786.60615199991</v>
      </c>
      <c r="N84" s="39"/>
      <c r="O84" s="39"/>
    </row>
    <row r="85" spans="1:15" s="14" customFormat="1" x14ac:dyDescent="0.3">
      <c r="A85" s="72" t="s">
        <v>72</v>
      </c>
      <c r="B85" s="40">
        <f>Base!B82-'DoubleCircuit_BATS-BETS'!I85</f>
        <v>-290.95000000000005</v>
      </c>
      <c r="C85" s="40">
        <f>Base!C82-'DoubleCircuit_BATS-BETS'!J85</f>
        <v>-484.81999999999971</v>
      </c>
      <c r="D85" s="40">
        <f>Base!D82-'DoubleCircuit_BATS-BETS'!K85</f>
        <v>-191.12192000000141</v>
      </c>
      <c r="E85" s="2" t="str">
        <f t="shared" si="17"/>
        <v>Y</v>
      </c>
      <c r="F85" s="52">
        <f t="shared" si="15"/>
        <v>-11840.002944000087</v>
      </c>
      <c r="H85" s="72" t="s">
        <v>72</v>
      </c>
      <c r="I85" s="40">
        <v>1501.4200000000003</v>
      </c>
      <c r="J85" s="40">
        <v>13802.449999999999</v>
      </c>
      <c r="K85" s="40">
        <v>9987.0963200000006</v>
      </c>
      <c r="L85" s="40">
        <f t="shared" si="16"/>
        <v>618700.61702400004</v>
      </c>
    </row>
    <row r="86" spans="1:15" s="14" customFormat="1" x14ac:dyDescent="0.3">
      <c r="A86" s="72" t="s">
        <v>73</v>
      </c>
      <c r="B86" s="40">
        <f>Base!B83-'DoubleCircuit_BATS-BETS'!I86</f>
        <v>-188.02999999999997</v>
      </c>
      <c r="C86" s="40">
        <f>Base!C83-'DoubleCircuit_BATS-BETS'!J86</f>
        <v>-328.67000000000189</v>
      </c>
      <c r="D86" s="40">
        <f>Base!D83-'DoubleCircuit_BATS-BETS'!K86</f>
        <v>-106.09616000000096</v>
      </c>
      <c r="E86" s="2" t="str">
        <f t="shared" si="17"/>
        <v>Y</v>
      </c>
      <c r="F86" s="52">
        <f t="shared" si="15"/>
        <v>-6572.6571120000599</v>
      </c>
      <c r="H86" s="72" t="s">
        <v>73</v>
      </c>
      <c r="I86" s="40">
        <v>1591.7499999999998</v>
      </c>
      <c r="J86" s="40">
        <v>15268.98</v>
      </c>
      <c r="K86" s="40">
        <v>10608.8076</v>
      </c>
      <c r="L86" s="40">
        <f t="shared" si="16"/>
        <v>657215.63082000008</v>
      </c>
    </row>
    <row r="87" spans="1:15" s="14" customFormat="1" ht="15" thickBot="1" x14ac:dyDescent="0.35">
      <c r="E87" s="60">
        <f>COUNTIF(E77:E86,"Y")</f>
        <v>10</v>
      </c>
      <c r="F87" s="62">
        <f>-PV($G$6,$G$7-7,F86)</f>
        <v>-62896.597638157196</v>
      </c>
      <c r="G87" s="55" t="s">
        <v>11</v>
      </c>
    </row>
    <row r="88" spans="1:15" s="14" customFormat="1" ht="15" thickTop="1" x14ac:dyDescent="0.3"/>
    <row r="89" spans="1:15" s="14" customFormat="1" ht="15.6" x14ac:dyDescent="0.3">
      <c r="A89" s="409" t="s">
        <v>53</v>
      </c>
      <c r="B89" s="410"/>
      <c r="C89" s="410"/>
      <c r="D89" s="410"/>
      <c r="E89" s="410"/>
      <c r="F89" s="411"/>
      <c r="H89" s="406" t="s">
        <v>63</v>
      </c>
      <c r="I89" s="406"/>
      <c r="J89" s="406"/>
      <c r="K89" s="406"/>
      <c r="L89" s="406"/>
    </row>
    <row r="90" spans="1:15" s="14" customFormat="1" ht="43.2" x14ac:dyDescent="0.3">
      <c r="A90" s="94" t="s">
        <v>5</v>
      </c>
      <c r="B90" s="51" t="s">
        <v>151</v>
      </c>
      <c r="C90" s="51" t="s">
        <v>152</v>
      </c>
      <c r="D90" s="51" t="s">
        <v>153</v>
      </c>
      <c r="E90" s="51" t="s">
        <v>12</v>
      </c>
      <c r="F90" s="51" t="s">
        <v>58</v>
      </c>
      <c r="H90" s="94" t="s">
        <v>5</v>
      </c>
      <c r="I90" s="51" t="s">
        <v>75</v>
      </c>
      <c r="J90" s="51" t="s">
        <v>51</v>
      </c>
      <c r="K90" s="50" t="s">
        <v>0</v>
      </c>
      <c r="L90" s="51" t="s">
        <v>58</v>
      </c>
    </row>
    <row r="91" spans="1:15" s="14" customFormat="1" x14ac:dyDescent="0.3">
      <c r="A91" s="72" t="s">
        <v>64</v>
      </c>
      <c r="B91" s="40">
        <f>Base!B88-'DoubleCircuit_BATS-BETS'!I91</f>
        <v>31.980000000000018</v>
      </c>
      <c r="C91" s="40">
        <f>Base!C88-'DoubleCircuit_BATS-BETS'!J91</f>
        <v>-9.0999999999985448</v>
      </c>
      <c r="D91" s="40">
        <f>Base!D88-'DoubleCircuit_BATS-BETS'!K91</f>
        <v>72.526879999999437</v>
      </c>
      <c r="E91" s="2" t="str">
        <f>E35</f>
        <v>Y</v>
      </c>
      <c r="F91" s="52">
        <f t="shared" ref="F91:F100" si="18">IF(E91="Y",D91*$G$5,-D91*$G$5)</f>
        <v>4493.0402159999658</v>
      </c>
      <c r="H91" s="72" t="s">
        <v>64</v>
      </c>
      <c r="I91" s="40">
        <v>766.19</v>
      </c>
      <c r="J91" s="40">
        <v>10119.540000000001</v>
      </c>
      <c r="K91" s="40">
        <v>7906.87248</v>
      </c>
      <c r="L91" s="40">
        <f t="shared" ref="L91:L100" si="19">K91*$G$5</f>
        <v>489830.75013600005</v>
      </c>
    </row>
    <row r="92" spans="1:15" s="14" customFormat="1" x14ac:dyDescent="0.3">
      <c r="A92" s="72" t="s">
        <v>65</v>
      </c>
      <c r="B92" s="40">
        <f>Base!B89-'DoubleCircuit_BATS-BETS'!I92</f>
        <v>34.879999999999995</v>
      </c>
      <c r="C92" s="40">
        <f>Base!C89-'DoubleCircuit_BATS-BETS'!J92</f>
        <v>27.590000000000146</v>
      </c>
      <c r="D92" s="40">
        <f>Base!D89-'DoubleCircuit_BATS-BETS'!K92</f>
        <v>161.40295999999944</v>
      </c>
      <c r="E92" s="2" t="str">
        <f t="shared" ref="E92:E100" si="20">E36</f>
        <v>Y</v>
      </c>
      <c r="F92" s="52">
        <f t="shared" si="18"/>
        <v>9998.9133719999663</v>
      </c>
      <c r="H92" s="72" t="s">
        <v>65</v>
      </c>
      <c r="I92" s="40">
        <v>729.07</v>
      </c>
      <c r="J92" s="40">
        <v>9689.380000000001</v>
      </c>
      <c r="K92" s="40">
        <v>7511.0879199999999</v>
      </c>
      <c r="L92" s="40">
        <f t="shared" si="19"/>
        <v>465311.89664400002</v>
      </c>
    </row>
    <row r="93" spans="1:15" s="14" customFormat="1" x14ac:dyDescent="0.3">
      <c r="A93" s="72" t="s">
        <v>66</v>
      </c>
      <c r="B93" s="40">
        <f>Base!B90-'DoubleCircuit_BATS-BETS'!I93</f>
        <v>30.490000000000009</v>
      </c>
      <c r="C93" s="40">
        <f>Base!C90-'DoubleCircuit_BATS-BETS'!J93</f>
        <v>390.47999999999956</v>
      </c>
      <c r="D93" s="40">
        <f>Base!D90-'DoubleCircuit_BATS-BETS'!K93</f>
        <v>461.40935999999965</v>
      </c>
      <c r="E93" s="2" t="str">
        <f t="shared" si="20"/>
        <v>Y</v>
      </c>
      <c r="F93" s="52">
        <f t="shared" si="18"/>
        <v>28584.30985199998</v>
      </c>
      <c r="H93" s="72" t="s">
        <v>66</v>
      </c>
      <c r="I93" s="40">
        <v>724.7</v>
      </c>
      <c r="J93" s="40">
        <v>9426.760000000002</v>
      </c>
      <c r="K93" s="40">
        <v>7418.347600000001</v>
      </c>
      <c r="L93" s="40">
        <f t="shared" si="19"/>
        <v>459566.6338200001</v>
      </c>
    </row>
    <row r="94" spans="1:15" s="14" customFormat="1" x14ac:dyDescent="0.3">
      <c r="A94" s="72" t="s">
        <v>67</v>
      </c>
      <c r="B94" s="40">
        <f>Base!B91-'DoubleCircuit_BATS-BETS'!I94</f>
        <v>82.710000000000036</v>
      </c>
      <c r="C94" s="40">
        <f>Base!C91-'DoubleCircuit_BATS-BETS'!J94</f>
        <v>560.73000000000138</v>
      </c>
      <c r="D94" s="40">
        <f>Base!D91-'DoubleCircuit_BATS-BETS'!K94</f>
        <v>517.08384000000024</v>
      </c>
      <c r="E94" s="2" t="str">
        <f t="shared" si="20"/>
        <v>Y</v>
      </c>
      <c r="F94" s="52">
        <f t="shared" si="18"/>
        <v>32033.343888000018</v>
      </c>
      <c r="H94" s="72" t="s">
        <v>67</v>
      </c>
      <c r="I94" s="40">
        <v>717.94999999999993</v>
      </c>
      <c r="J94" s="40">
        <v>9390.4699999999993</v>
      </c>
      <c r="K94" s="40">
        <v>7395.1006399999997</v>
      </c>
      <c r="L94" s="40">
        <f t="shared" si="19"/>
        <v>458126.48464799998</v>
      </c>
    </row>
    <row r="95" spans="1:15" s="14" customFormat="1" x14ac:dyDescent="0.3">
      <c r="A95" s="72" t="s">
        <v>68</v>
      </c>
      <c r="B95" s="40">
        <f>Base!B92-'DoubleCircuit_BATS-BETS'!I95</f>
        <v>155.18999999999994</v>
      </c>
      <c r="C95" s="40">
        <f>Base!C92-'DoubleCircuit_BATS-BETS'!J95</f>
        <v>740.03999999999905</v>
      </c>
      <c r="D95" s="40">
        <f>Base!D92-'DoubleCircuit_BATS-BETS'!K95</f>
        <v>649.8105599999999</v>
      </c>
      <c r="E95" s="2" t="str">
        <f t="shared" si="20"/>
        <v>Y</v>
      </c>
      <c r="F95" s="52">
        <f t="shared" si="18"/>
        <v>40255.764191999995</v>
      </c>
      <c r="H95" s="72" t="s">
        <v>68</v>
      </c>
      <c r="I95" s="40">
        <v>735.64</v>
      </c>
      <c r="J95" s="40">
        <v>9567.5300000000025</v>
      </c>
      <c r="K95" s="40">
        <v>7452.7757600000004</v>
      </c>
      <c r="L95" s="40">
        <f t="shared" si="19"/>
        <v>461699.45833200007</v>
      </c>
    </row>
    <row r="96" spans="1:15" s="14" customFormat="1" x14ac:dyDescent="0.3">
      <c r="A96" s="72" t="s">
        <v>69</v>
      </c>
      <c r="B96" s="40">
        <f>Base!B93-'DoubleCircuit_BATS-BETS'!I96</f>
        <v>184.37000000000012</v>
      </c>
      <c r="C96" s="40">
        <f>Base!C93-'DoubleCircuit_BATS-BETS'!J96</f>
        <v>853.73999999999978</v>
      </c>
      <c r="D96" s="40">
        <f>Base!D93-'DoubleCircuit_BATS-BETS'!K96</f>
        <v>635.05680000000029</v>
      </c>
      <c r="E96" s="2" t="str">
        <f t="shared" si="20"/>
        <v>Y</v>
      </c>
      <c r="F96" s="52">
        <f t="shared" si="18"/>
        <v>39341.768760000021</v>
      </c>
      <c r="H96" s="72" t="s">
        <v>69</v>
      </c>
      <c r="I96" s="40">
        <v>809.03</v>
      </c>
      <c r="J96" s="40">
        <v>10091.06</v>
      </c>
      <c r="K96" s="40">
        <v>7694.8294399999995</v>
      </c>
      <c r="L96" s="40">
        <f t="shared" si="19"/>
        <v>476694.683808</v>
      </c>
    </row>
    <row r="97" spans="1:12" s="14" customFormat="1" x14ac:dyDescent="0.3">
      <c r="A97" s="72" t="s">
        <v>70</v>
      </c>
      <c r="B97" s="40">
        <f>Base!B94-'DoubleCircuit_BATS-BETS'!I97</f>
        <v>163.60000000000014</v>
      </c>
      <c r="C97" s="40">
        <f>Base!C94-'DoubleCircuit_BATS-BETS'!J97</f>
        <v>1127.8100000000013</v>
      </c>
      <c r="D97" s="40">
        <f>Base!D94-'DoubleCircuit_BATS-BETS'!K97</f>
        <v>898.70768000000135</v>
      </c>
      <c r="E97" s="2" t="str">
        <f t="shared" si="20"/>
        <v>Y</v>
      </c>
      <c r="F97" s="52">
        <f t="shared" si="18"/>
        <v>55674.940776000083</v>
      </c>
      <c r="H97" s="72" t="s">
        <v>70</v>
      </c>
      <c r="I97" s="40">
        <v>909.28</v>
      </c>
      <c r="J97" s="40">
        <v>11153.369999999997</v>
      </c>
      <c r="K97" s="40">
        <v>8103.9573599999985</v>
      </c>
      <c r="L97" s="40">
        <f t="shared" si="19"/>
        <v>502040.15845199995</v>
      </c>
    </row>
    <row r="98" spans="1:12" s="14" customFormat="1" x14ac:dyDescent="0.3">
      <c r="A98" s="72" t="s">
        <v>71</v>
      </c>
      <c r="B98" s="40">
        <f>Base!B95-'DoubleCircuit_BATS-BETS'!I98</f>
        <v>86.800000000000409</v>
      </c>
      <c r="C98" s="40">
        <f>Base!C95-'DoubleCircuit_BATS-BETS'!J98</f>
        <v>1228.1699999999964</v>
      </c>
      <c r="D98" s="40">
        <f>Base!D95-'DoubleCircuit_BATS-BETS'!K98</f>
        <v>962.42327999999725</v>
      </c>
      <c r="E98" s="2" t="str">
        <f t="shared" si="20"/>
        <v>Y</v>
      </c>
      <c r="F98" s="52">
        <f t="shared" si="18"/>
        <v>59622.122195999829</v>
      </c>
      <c r="H98" s="72" t="s">
        <v>71</v>
      </c>
      <c r="I98" s="40">
        <v>1031.6299999999999</v>
      </c>
      <c r="J98" s="40">
        <v>12422.110000000002</v>
      </c>
      <c r="K98" s="40">
        <v>8555.0296000000017</v>
      </c>
      <c r="L98" s="40">
        <f t="shared" si="19"/>
        <v>529984.08372000011</v>
      </c>
    </row>
    <row r="99" spans="1:12" s="14" customFormat="1" x14ac:dyDescent="0.3">
      <c r="A99" s="72" t="s">
        <v>72</v>
      </c>
      <c r="B99" s="40">
        <f>Base!B96-'DoubleCircuit_BATS-BETS'!I99</f>
        <v>20.079999999999927</v>
      </c>
      <c r="C99" s="40">
        <f>Base!C96-'DoubleCircuit_BATS-BETS'!J99</f>
        <v>777.10000000000218</v>
      </c>
      <c r="D99" s="40">
        <f>Base!D96-'DoubleCircuit_BATS-BETS'!K99</f>
        <v>621.15423999999803</v>
      </c>
      <c r="E99" s="2" t="str">
        <f t="shared" si="20"/>
        <v>Y</v>
      </c>
      <c r="F99" s="52">
        <f t="shared" si="18"/>
        <v>38480.50516799988</v>
      </c>
      <c r="H99" s="72" t="s">
        <v>72</v>
      </c>
      <c r="I99" s="40">
        <v>1051.6099999999999</v>
      </c>
      <c r="J99" s="40">
        <v>14061.119999999999</v>
      </c>
      <c r="K99" s="40">
        <v>9140.4626399999997</v>
      </c>
      <c r="L99" s="40">
        <f t="shared" si="19"/>
        <v>566251.66054800001</v>
      </c>
    </row>
    <row r="100" spans="1:12" s="14" customFormat="1" x14ac:dyDescent="0.3">
      <c r="A100" s="72" t="s">
        <v>73</v>
      </c>
      <c r="B100" s="40">
        <f>Base!B97-'DoubleCircuit_BATS-BETS'!I100</f>
        <v>4.9999999999954525E-2</v>
      </c>
      <c r="C100" s="40">
        <f>Base!C97-'DoubleCircuit_BATS-BETS'!J100</f>
        <v>597.71999999999753</v>
      </c>
      <c r="D100" s="40">
        <f>Base!D97-'DoubleCircuit_BATS-BETS'!K100</f>
        <v>596.9961600000006</v>
      </c>
      <c r="E100" s="2" t="str">
        <f t="shared" si="20"/>
        <v>Y</v>
      </c>
      <c r="F100" s="52">
        <f t="shared" si="18"/>
        <v>36983.912112000042</v>
      </c>
      <c r="H100" s="72" t="s">
        <v>73</v>
      </c>
      <c r="I100" s="40">
        <v>1182.6699999999998</v>
      </c>
      <c r="J100" s="40">
        <v>16612.170000000002</v>
      </c>
      <c r="K100" s="40">
        <v>10101.041279999999</v>
      </c>
      <c r="L100" s="40">
        <f t="shared" si="19"/>
        <v>625759.50729600003</v>
      </c>
    </row>
    <row r="101" spans="1:12" s="14" customFormat="1" ht="15" thickBot="1" x14ac:dyDescent="0.35">
      <c r="E101" s="60">
        <f>COUNTIF(E91:E100,"Y")</f>
        <v>10</v>
      </c>
      <c r="F101" s="62">
        <f>-PV($G$6,$G$7-7,F100)</f>
        <v>353915.04524805251</v>
      </c>
      <c r="G101" s="55" t="s">
        <v>11</v>
      </c>
    </row>
    <row r="102" spans="1:12" ht="15" thickTop="1" x14ac:dyDescent="0.3"/>
  </sheetData>
  <mergeCells count="12">
    <mergeCell ref="A15:I15"/>
    <mergeCell ref="M15:Q15"/>
    <mergeCell ref="A33:F33"/>
    <mergeCell ref="H33:L33"/>
    <mergeCell ref="A47:F47"/>
    <mergeCell ref="H47:L47"/>
    <mergeCell ref="A61:F61"/>
    <mergeCell ref="H61:L61"/>
    <mergeCell ref="A75:F75"/>
    <mergeCell ref="H75:L75"/>
    <mergeCell ref="A89:F89"/>
    <mergeCell ref="H89:L89"/>
  </mergeCell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02"/>
  <sheetViews>
    <sheetView zoomScale="55" zoomScaleNormal="55" workbookViewId="0">
      <selection activeCell="K19" sqref="K19"/>
    </sheetView>
  </sheetViews>
  <sheetFormatPr defaultRowHeight="14.4" x14ac:dyDescent="0.3"/>
  <cols>
    <col min="1" max="1" width="38.77734375" style="73" customWidth="1"/>
    <col min="2" max="12" width="15.77734375" style="73" customWidth="1"/>
    <col min="13" max="17" width="10.77734375" style="73" customWidth="1"/>
    <col min="18" max="16384" width="8.88671875" style="73"/>
  </cols>
  <sheetData>
    <row r="2" spans="1:18" x14ac:dyDescent="0.3">
      <c r="A2" s="78" t="s">
        <v>129</v>
      </c>
    </row>
    <row r="3" spans="1:18" x14ac:dyDescent="0.3">
      <c r="A3" s="78"/>
    </row>
    <row r="5" spans="1:18" x14ac:dyDescent="0.3">
      <c r="A5" s="68" t="s">
        <v>31</v>
      </c>
      <c r="B5" s="69" t="s">
        <v>33</v>
      </c>
      <c r="C5" s="69" t="s">
        <v>34</v>
      </c>
      <c r="D5" s="69" t="s">
        <v>35</v>
      </c>
      <c r="F5" s="65" t="s">
        <v>3</v>
      </c>
      <c r="G5" s="79">
        <v>61.95</v>
      </c>
    </row>
    <row r="6" spans="1:18" x14ac:dyDescent="0.3">
      <c r="A6" s="84" t="s">
        <v>4</v>
      </c>
      <c r="B6" s="85">
        <v>27.8</v>
      </c>
      <c r="C6" s="90"/>
      <c r="D6" s="90"/>
      <c r="F6" s="66" t="s">
        <v>2</v>
      </c>
      <c r="G6" s="80">
        <v>0.1</v>
      </c>
    </row>
    <row r="7" spans="1:18" x14ac:dyDescent="0.3">
      <c r="A7" s="84" t="s">
        <v>36</v>
      </c>
      <c r="B7" s="86">
        <v>0.02</v>
      </c>
      <c r="C7" s="31"/>
      <c r="D7" s="31"/>
      <c r="F7" s="66" t="s">
        <v>1</v>
      </c>
      <c r="G7" s="81">
        <v>40</v>
      </c>
    </row>
    <row r="8" spans="1:18" x14ac:dyDescent="0.3">
      <c r="A8" s="84" t="s">
        <v>30</v>
      </c>
      <c r="B8" s="87">
        <f>-PV($G$6,$G$7,B6*B7)</f>
        <v>5.4371521994738794</v>
      </c>
      <c r="C8" s="32">
        <f>-PV($G$6,$G$7,C6*C7)</f>
        <v>0</v>
      </c>
      <c r="D8" s="32">
        <f>-PV($G$6,$G$7,D6*D7)</f>
        <v>0</v>
      </c>
      <c r="F8" s="66" t="s">
        <v>6</v>
      </c>
      <c r="G8" s="80">
        <v>0.2</v>
      </c>
    </row>
    <row r="9" spans="1:18" x14ac:dyDescent="0.3">
      <c r="A9" s="84" t="s">
        <v>32</v>
      </c>
      <c r="B9" s="87">
        <f>B6+B8</f>
        <v>33.237152199473883</v>
      </c>
      <c r="C9" s="32">
        <f>C6+C8</f>
        <v>0</v>
      </c>
      <c r="D9" s="32">
        <f>D6+D8</f>
        <v>0</v>
      </c>
      <c r="F9" s="66" t="s">
        <v>7</v>
      </c>
      <c r="G9" s="80">
        <v>0.2</v>
      </c>
    </row>
    <row r="10" spans="1:18" x14ac:dyDescent="0.3">
      <c r="A10" s="84" t="s">
        <v>15</v>
      </c>
      <c r="B10" s="87">
        <f>-PMT($G$6,$G$7,B9)</f>
        <v>3.3988117207194719</v>
      </c>
      <c r="C10" s="32">
        <f>-PMT($G$6,$G$7,C9)</f>
        <v>0</v>
      </c>
      <c r="D10" s="32">
        <f>-PMT($G$6,$G$7,D9)</f>
        <v>0</v>
      </c>
      <c r="F10" s="66" t="s">
        <v>8</v>
      </c>
      <c r="G10" s="80">
        <v>0.2</v>
      </c>
    </row>
    <row r="11" spans="1:18" x14ac:dyDescent="0.3">
      <c r="B11" s="83"/>
      <c r="C11" s="83"/>
      <c r="D11" s="83"/>
      <c r="F11" s="66" t="s">
        <v>9</v>
      </c>
      <c r="G11" s="80">
        <v>0.2</v>
      </c>
    </row>
    <row r="12" spans="1:18" x14ac:dyDescent="0.3">
      <c r="A12" s="76" t="s">
        <v>28</v>
      </c>
      <c r="B12" s="88">
        <f>SUM(B9:D9)</f>
        <v>33.237152199473883</v>
      </c>
      <c r="C12" s="83"/>
      <c r="D12" s="83"/>
      <c r="F12" s="67" t="s">
        <v>10</v>
      </c>
      <c r="G12" s="82">
        <v>0.2</v>
      </c>
    </row>
    <row r="13" spans="1:18" x14ac:dyDescent="0.3">
      <c r="A13" s="77" t="s">
        <v>29</v>
      </c>
      <c r="B13" s="89">
        <f>-PMT($G$6,$G$7,B12)</f>
        <v>3.3988117207194719</v>
      </c>
      <c r="C13" s="83"/>
      <c r="D13" s="83"/>
    </row>
    <row r="15" spans="1:18" ht="15.6" x14ac:dyDescent="0.3">
      <c r="A15" s="397" t="s">
        <v>57</v>
      </c>
      <c r="B15" s="397"/>
      <c r="C15" s="397"/>
      <c r="D15" s="397"/>
      <c r="E15" s="397"/>
      <c r="F15" s="397"/>
      <c r="G15" s="397"/>
      <c r="H15" s="397"/>
      <c r="I15" s="397"/>
      <c r="M15" s="407"/>
      <c r="N15" s="407"/>
      <c r="O15" s="407"/>
      <c r="P15" s="407"/>
      <c r="Q15" s="407"/>
      <c r="R15" s="91"/>
    </row>
    <row r="16" spans="1:18" s="83" customFormat="1" ht="70.8" customHeight="1" x14ac:dyDescent="0.3">
      <c r="A16" s="94" t="s">
        <v>5</v>
      </c>
      <c r="B16" s="51" t="s">
        <v>151</v>
      </c>
      <c r="C16" s="51" t="s">
        <v>152</v>
      </c>
      <c r="D16" s="51" t="s">
        <v>153</v>
      </c>
      <c r="E16" s="50" t="s">
        <v>25</v>
      </c>
      <c r="F16" s="50" t="s">
        <v>15</v>
      </c>
      <c r="G16" s="50" t="s">
        <v>26</v>
      </c>
      <c r="H16" s="50" t="s">
        <v>12</v>
      </c>
      <c r="I16" s="50" t="s">
        <v>24</v>
      </c>
      <c r="J16" s="35"/>
      <c r="K16" s="35"/>
      <c r="M16" s="36"/>
      <c r="N16" s="37"/>
      <c r="O16" s="37"/>
      <c r="P16" s="37"/>
      <c r="Q16" s="38"/>
      <c r="R16" s="39"/>
    </row>
    <row r="17" spans="1:18" s="83" customFormat="1" x14ac:dyDescent="0.3">
      <c r="A17" s="72" t="s">
        <v>64</v>
      </c>
      <c r="B17" s="40">
        <f>MAX(B35,B49,B63,B77,B91)</f>
        <v>207.90000000000009</v>
      </c>
      <c r="C17" s="40">
        <f>MAX(C35,C49,C63,C77,C91)</f>
        <v>1121.8900000000031</v>
      </c>
      <c r="D17" s="40">
        <f t="shared" ref="D17:D26" si="0">$G$8*D35+$G$9*D49+$G$10*D63+$G$11*D77+$G$12*D91</f>
        <v>575.30577600000004</v>
      </c>
      <c r="E17" s="41">
        <f t="shared" ref="E17:E26" si="1">D17*$G$5/1000</f>
        <v>35.640192823200003</v>
      </c>
      <c r="F17" s="41">
        <f t="shared" ref="F17:F26" si="2">$B$13</f>
        <v>3.3988117207194719</v>
      </c>
      <c r="G17" s="41">
        <f>E17-F17</f>
        <v>32.241381102480531</v>
      </c>
      <c r="H17" s="42" t="s">
        <v>13</v>
      </c>
      <c r="I17" s="41">
        <f>IF(OR(H17="Y",H17="Y1",H17="Y2"),E17,-Q17)</f>
        <v>35.640192823200003</v>
      </c>
      <c r="J17" s="43"/>
      <c r="K17" s="43"/>
      <c r="M17" s="44"/>
      <c r="N17" s="45"/>
      <c r="O17" s="45"/>
      <c r="P17" s="45"/>
      <c r="Q17" s="33"/>
      <c r="R17" s="39"/>
    </row>
    <row r="18" spans="1:18" s="83" customFormat="1" x14ac:dyDescent="0.3">
      <c r="A18" s="72" t="s">
        <v>65</v>
      </c>
      <c r="B18" s="40">
        <f t="shared" ref="B18:C26" si="3">MAX(B36,B50,B64,B78,B92)</f>
        <v>199.84000000000003</v>
      </c>
      <c r="C18" s="40">
        <f t="shared" si="3"/>
        <v>872.05000000000109</v>
      </c>
      <c r="D18" s="40">
        <f t="shared" si="0"/>
        <v>400.30419199999949</v>
      </c>
      <c r="E18" s="41">
        <f t="shared" si="1"/>
        <v>24.798844694399971</v>
      </c>
      <c r="F18" s="41">
        <f t="shared" si="2"/>
        <v>3.3988117207194719</v>
      </c>
      <c r="G18" s="41">
        <f t="shared" ref="G18:G26" si="4">E18-F18</f>
        <v>21.400032973680499</v>
      </c>
      <c r="H18" s="42" t="s">
        <v>13</v>
      </c>
      <c r="I18" s="41">
        <f t="shared" ref="I18:I26" si="5">IF(OR(H18="Y",H18="Y1",H18="Y2"),E18,-Q18)</f>
        <v>24.798844694399971</v>
      </c>
      <c r="J18" s="43"/>
      <c r="K18" s="43"/>
      <c r="M18" s="44"/>
      <c r="N18" s="45"/>
      <c r="O18" s="45"/>
      <c r="P18" s="45"/>
      <c r="Q18" s="33"/>
      <c r="R18" s="39"/>
    </row>
    <row r="19" spans="1:18" s="83" customFormat="1" x14ac:dyDescent="0.3">
      <c r="A19" s="72" t="s">
        <v>66</v>
      </c>
      <c r="B19" s="40">
        <f t="shared" si="3"/>
        <v>217.47000000000003</v>
      </c>
      <c r="C19" s="40">
        <f t="shared" si="3"/>
        <v>884.79000000000087</v>
      </c>
      <c r="D19" s="40">
        <f t="shared" si="0"/>
        <v>370.64212800000007</v>
      </c>
      <c r="E19" s="41">
        <f t="shared" si="1"/>
        <v>22.961279829600002</v>
      </c>
      <c r="F19" s="41">
        <f t="shared" si="2"/>
        <v>3.3988117207194719</v>
      </c>
      <c r="G19" s="41">
        <f t="shared" si="4"/>
        <v>19.56246810888053</v>
      </c>
      <c r="H19" s="42" t="s">
        <v>13</v>
      </c>
      <c r="I19" s="41">
        <f t="shared" si="5"/>
        <v>22.961279829600002</v>
      </c>
      <c r="J19" s="43"/>
      <c r="K19" s="43"/>
      <c r="M19" s="44"/>
      <c r="N19" s="45"/>
      <c r="O19" s="45"/>
      <c r="P19" s="45"/>
      <c r="Q19" s="33"/>
      <c r="R19" s="39"/>
    </row>
    <row r="20" spans="1:18" s="83" customFormat="1" x14ac:dyDescent="0.3">
      <c r="A20" s="72" t="s">
        <v>67</v>
      </c>
      <c r="B20" s="40">
        <f t="shared" si="3"/>
        <v>243.05999999999995</v>
      </c>
      <c r="C20" s="40">
        <f t="shared" si="3"/>
        <v>959.59000000000196</v>
      </c>
      <c r="D20" s="40">
        <f t="shared" si="0"/>
        <v>447.42873600000047</v>
      </c>
      <c r="E20" s="41">
        <f t="shared" si="1"/>
        <v>27.718210195200029</v>
      </c>
      <c r="F20" s="41">
        <f t="shared" si="2"/>
        <v>3.3988117207194719</v>
      </c>
      <c r="G20" s="41">
        <f t="shared" si="4"/>
        <v>24.319398474480558</v>
      </c>
      <c r="H20" s="42" t="s">
        <v>13</v>
      </c>
      <c r="I20" s="41">
        <f t="shared" si="5"/>
        <v>27.718210195200029</v>
      </c>
      <c r="J20" s="43"/>
      <c r="K20" s="43"/>
      <c r="M20" s="44"/>
      <c r="N20" s="45"/>
      <c r="O20" s="45"/>
      <c r="P20" s="45"/>
      <c r="Q20" s="33"/>
      <c r="R20" s="39"/>
    </row>
    <row r="21" spans="1:18" s="83" customFormat="1" x14ac:dyDescent="0.3">
      <c r="A21" s="72" t="s">
        <v>68</v>
      </c>
      <c r="B21" s="40">
        <f t="shared" si="3"/>
        <v>294.98000000000025</v>
      </c>
      <c r="C21" s="40">
        <f t="shared" si="3"/>
        <v>1065.1399999999976</v>
      </c>
      <c r="D21" s="40">
        <f t="shared" si="0"/>
        <v>448.65561599999967</v>
      </c>
      <c r="E21" s="41">
        <f t="shared" si="1"/>
        <v>27.794215411199982</v>
      </c>
      <c r="F21" s="41">
        <f t="shared" si="2"/>
        <v>3.3988117207194719</v>
      </c>
      <c r="G21" s="41">
        <f t="shared" si="4"/>
        <v>24.39540369048051</v>
      </c>
      <c r="H21" s="42" t="s">
        <v>13</v>
      </c>
      <c r="I21" s="41">
        <f t="shared" si="5"/>
        <v>27.794215411199982</v>
      </c>
      <c r="J21" s="43"/>
      <c r="K21" s="43"/>
      <c r="M21" s="44"/>
      <c r="N21" s="45"/>
      <c r="O21" s="45"/>
      <c r="P21" s="45"/>
      <c r="Q21" s="33"/>
      <c r="R21" s="39"/>
    </row>
    <row r="22" spans="1:18" s="83" customFormat="1" x14ac:dyDescent="0.3">
      <c r="A22" s="72" t="s">
        <v>69</v>
      </c>
      <c r="B22" s="40">
        <f t="shared" si="3"/>
        <v>296.49999999999989</v>
      </c>
      <c r="C22" s="40">
        <f t="shared" si="3"/>
        <v>1239.25</v>
      </c>
      <c r="D22" s="40">
        <f t="shared" si="0"/>
        <v>454.6757599999994</v>
      </c>
      <c r="E22" s="41">
        <f t="shared" si="1"/>
        <v>28.167163331999962</v>
      </c>
      <c r="F22" s="41">
        <f t="shared" si="2"/>
        <v>3.3988117207194719</v>
      </c>
      <c r="G22" s="41">
        <f t="shared" si="4"/>
        <v>24.76835161128049</v>
      </c>
      <c r="H22" s="42" t="s">
        <v>13</v>
      </c>
      <c r="I22" s="41">
        <f t="shared" si="5"/>
        <v>28.167163331999962</v>
      </c>
      <c r="J22" s="43"/>
      <c r="K22" s="43"/>
      <c r="M22" s="44"/>
      <c r="N22" s="45"/>
      <c r="O22" s="45"/>
      <c r="P22" s="45"/>
      <c r="Q22" s="33"/>
      <c r="R22" s="39"/>
    </row>
    <row r="23" spans="1:18" s="83" customFormat="1" x14ac:dyDescent="0.3">
      <c r="A23" s="72" t="s">
        <v>70</v>
      </c>
      <c r="B23" s="40">
        <f t="shared" si="3"/>
        <v>277.9100000000002</v>
      </c>
      <c r="C23" s="40">
        <f t="shared" si="3"/>
        <v>1338.2499999999964</v>
      </c>
      <c r="D23" s="40">
        <f t="shared" si="0"/>
        <v>567.71006399999931</v>
      </c>
      <c r="E23" s="41">
        <f t="shared" si="1"/>
        <v>35.169638464799959</v>
      </c>
      <c r="F23" s="41">
        <f t="shared" si="2"/>
        <v>3.3988117207194719</v>
      </c>
      <c r="G23" s="41">
        <f t="shared" si="4"/>
        <v>31.770826744080487</v>
      </c>
      <c r="H23" s="46" t="s">
        <v>13</v>
      </c>
      <c r="I23" s="41">
        <f t="shared" si="5"/>
        <v>35.169638464799959</v>
      </c>
      <c r="J23" s="43"/>
      <c r="K23" s="43"/>
      <c r="M23" s="44"/>
      <c r="N23" s="45"/>
      <c r="O23" s="45"/>
      <c r="P23" s="45"/>
      <c r="Q23" s="33"/>
      <c r="R23" s="39"/>
    </row>
    <row r="24" spans="1:18" s="83" customFormat="1" x14ac:dyDescent="0.3">
      <c r="A24" s="72" t="s">
        <v>71</v>
      </c>
      <c r="B24" s="40">
        <f t="shared" si="3"/>
        <v>288.24999999999989</v>
      </c>
      <c r="C24" s="40">
        <f t="shared" si="3"/>
        <v>1387.9399999999969</v>
      </c>
      <c r="D24" s="40">
        <f t="shared" si="0"/>
        <v>592.25571199999979</v>
      </c>
      <c r="E24" s="41">
        <f t="shared" si="1"/>
        <v>36.690241358399987</v>
      </c>
      <c r="F24" s="41">
        <f t="shared" si="2"/>
        <v>3.3988117207194719</v>
      </c>
      <c r="G24" s="41">
        <f t="shared" si="4"/>
        <v>33.291429637680515</v>
      </c>
      <c r="H24" s="46" t="s">
        <v>13</v>
      </c>
      <c r="I24" s="41">
        <f t="shared" si="5"/>
        <v>36.690241358399987</v>
      </c>
      <c r="J24" s="43"/>
      <c r="K24" s="43"/>
      <c r="M24" s="44"/>
      <c r="N24" s="45"/>
      <c r="O24" s="45"/>
      <c r="P24" s="45"/>
      <c r="Q24" s="33"/>
      <c r="R24" s="39"/>
    </row>
    <row r="25" spans="1:18" s="83" customFormat="1" x14ac:dyDescent="0.3">
      <c r="A25" s="72" t="s">
        <v>72</v>
      </c>
      <c r="B25" s="40">
        <f t="shared" si="3"/>
        <v>268.91000000000008</v>
      </c>
      <c r="C25" s="40">
        <f t="shared" si="3"/>
        <v>1601.3100000000049</v>
      </c>
      <c r="D25" s="40">
        <f t="shared" si="0"/>
        <v>569.08121599999936</v>
      </c>
      <c r="E25" s="41">
        <f t="shared" si="1"/>
        <v>35.254581331199958</v>
      </c>
      <c r="F25" s="41">
        <f t="shared" si="2"/>
        <v>3.3988117207194719</v>
      </c>
      <c r="G25" s="41">
        <f t="shared" si="4"/>
        <v>31.855769610480486</v>
      </c>
      <c r="H25" s="46" t="s">
        <v>13</v>
      </c>
      <c r="I25" s="41">
        <f t="shared" si="5"/>
        <v>35.254581331199958</v>
      </c>
      <c r="J25" s="43"/>
      <c r="K25" s="43"/>
      <c r="M25" s="44"/>
      <c r="N25" s="45"/>
      <c r="O25" s="45"/>
      <c r="P25" s="45"/>
      <c r="Q25" s="33"/>
      <c r="R25" s="39"/>
    </row>
    <row r="26" spans="1:18" s="83" customFormat="1" x14ac:dyDescent="0.3">
      <c r="A26" s="72" t="s">
        <v>73</v>
      </c>
      <c r="B26" s="40">
        <f t="shared" si="3"/>
        <v>280.5200000000001</v>
      </c>
      <c r="C26" s="40">
        <f t="shared" si="3"/>
        <v>2004.7600000000057</v>
      </c>
      <c r="D26" s="40">
        <f t="shared" si="0"/>
        <v>594.0559840000011</v>
      </c>
      <c r="E26" s="41">
        <f t="shared" si="1"/>
        <v>36.80176820880007</v>
      </c>
      <c r="F26" s="41">
        <f t="shared" si="2"/>
        <v>3.3988117207194719</v>
      </c>
      <c r="G26" s="41">
        <f t="shared" si="4"/>
        <v>33.402956488080598</v>
      </c>
      <c r="H26" s="58" t="s">
        <v>13</v>
      </c>
      <c r="I26" s="59">
        <f t="shared" si="5"/>
        <v>36.80176820880007</v>
      </c>
      <c r="J26" s="43"/>
      <c r="K26" s="43"/>
      <c r="M26" s="44"/>
      <c r="N26" s="45"/>
      <c r="O26" s="45"/>
      <c r="P26" s="45"/>
      <c r="Q26" s="33"/>
      <c r="R26" s="39"/>
    </row>
    <row r="27" spans="1:18" s="83" customFormat="1" ht="15" thickBot="1" x14ac:dyDescent="0.35">
      <c r="G27" s="57"/>
      <c r="H27" s="60">
        <f>COUNTIF(H17:H26,"Y")</f>
        <v>10</v>
      </c>
      <c r="I27" s="61">
        <f>-PV($G$6,$G$7-H27,I26)</f>
        <v>346.92712113828821</v>
      </c>
      <c r="J27" s="56" t="s">
        <v>11</v>
      </c>
      <c r="K27" s="47"/>
      <c r="L27" s="39"/>
      <c r="M27" s="39"/>
      <c r="Q27" s="45"/>
    </row>
    <row r="28" spans="1:18" s="83" customFormat="1" ht="15" thickTop="1" x14ac:dyDescent="0.3">
      <c r="I28" s="47"/>
      <c r="J28" s="39"/>
      <c r="K28" s="47"/>
      <c r="L28" s="39"/>
      <c r="M28" s="39"/>
    </row>
    <row r="29" spans="1:18" s="83" customFormat="1" ht="43.2" x14ac:dyDescent="0.3">
      <c r="A29" s="34"/>
      <c r="B29" s="63" t="s">
        <v>16</v>
      </c>
      <c r="C29" s="63" t="s">
        <v>17</v>
      </c>
      <c r="D29" s="63" t="s">
        <v>18</v>
      </c>
      <c r="E29" s="63" t="s">
        <v>19</v>
      </c>
      <c r="F29" s="63" t="s">
        <v>20</v>
      </c>
      <c r="G29" s="63" t="s">
        <v>21</v>
      </c>
      <c r="H29" s="64" t="s">
        <v>28</v>
      </c>
      <c r="I29" s="64" t="s">
        <v>37</v>
      </c>
      <c r="K29" s="39"/>
      <c r="L29" s="39"/>
      <c r="M29" s="39"/>
    </row>
    <row r="30" spans="1:18" s="83" customFormat="1" x14ac:dyDescent="0.3">
      <c r="A30" s="75" t="s">
        <v>22</v>
      </c>
      <c r="B30" s="48">
        <f>NPV($G$6,F35:F43,F44+F45)/1000</f>
        <v>136.83097517916494</v>
      </c>
      <c r="C30" s="48">
        <f>NPV($G$6,F49:F57,F58+F59)/1000</f>
        <v>434.53795180261238</v>
      </c>
      <c r="D30" s="48">
        <f>NPV($G$6,F63:F71,F72+F73)/1000</f>
        <v>444.63723181893852</v>
      </c>
      <c r="E30" s="48">
        <f>NPV($G$6,F77:F85,F86+F87)/1000</f>
        <v>333.21386698775802</v>
      </c>
      <c r="F30" s="48">
        <f>NPV($G$6,F91:F99,F100+F101)/1000</f>
        <v>262.36634744032085</v>
      </c>
      <c r="G30" s="49">
        <f>B30*G8+C30*G9+D30*G10+E30*G11+F30*G12</f>
        <v>322.31727464575897</v>
      </c>
      <c r="H30" s="87">
        <f>B12</f>
        <v>33.237152199473883</v>
      </c>
      <c r="I30" s="48">
        <f>G30-H30</f>
        <v>289.08012244628509</v>
      </c>
    </row>
    <row r="31" spans="1:18" s="83" customFormat="1" x14ac:dyDescent="0.3">
      <c r="I31" s="92"/>
    </row>
    <row r="32" spans="1:18" s="83" customFormat="1" x14ac:dyDescent="0.3"/>
    <row r="33" spans="1:14" s="83" customFormat="1" ht="15.6" x14ac:dyDescent="0.3">
      <c r="A33" s="409" t="s">
        <v>52</v>
      </c>
      <c r="B33" s="410"/>
      <c r="C33" s="410"/>
      <c r="D33" s="410"/>
      <c r="E33" s="410"/>
      <c r="F33" s="411"/>
      <c r="H33" s="406" t="s">
        <v>59</v>
      </c>
      <c r="I33" s="406"/>
      <c r="J33" s="406"/>
      <c r="K33" s="406"/>
      <c r="L33" s="406"/>
    </row>
    <row r="34" spans="1:14" s="83" customFormat="1" ht="43.2" x14ac:dyDescent="0.3">
      <c r="A34" s="94" t="s">
        <v>5</v>
      </c>
      <c r="B34" s="51" t="s">
        <v>151</v>
      </c>
      <c r="C34" s="51" t="s">
        <v>152</v>
      </c>
      <c r="D34" s="51" t="s">
        <v>153</v>
      </c>
      <c r="E34" s="51" t="s">
        <v>12</v>
      </c>
      <c r="F34" s="51" t="s">
        <v>58</v>
      </c>
      <c r="H34" s="94" t="s">
        <v>5</v>
      </c>
      <c r="I34" s="51" t="s">
        <v>75</v>
      </c>
      <c r="J34" s="51" t="s">
        <v>51</v>
      </c>
      <c r="K34" s="50" t="s">
        <v>0</v>
      </c>
      <c r="L34" s="51" t="s">
        <v>58</v>
      </c>
    </row>
    <row r="35" spans="1:14" s="83" customFormat="1" x14ac:dyDescent="0.3">
      <c r="A35" s="72" t="s">
        <v>64</v>
      </c>
      <c r="B35" s="40">
        <f>Base!B32-'Third_Line_MLTS-BATS'!I35</f>
        <v>153.79000000000008</v>
      </c>
      <c r="C35" s="40">
        <f>Base!C32-'Third_Line_MLTS-BATS'!J35</f>
        <v>973.84000000000196</v>
      </c>
      <c r="D35" s="40">
        <f>Base!D32-'Third_Line_MLTS-BATS'!K35</f>
        <v>532.55544000000009</v>
      </c>
      <c r="E35" s="74" t="str">
        <f t="shared" ref="E35:E44" si="6">H17</f>
        <v>Y</v>
      </c>
      <c r="F35" s="52">
        <f t="shared" ref="F35:F44" si="7">IF(E35="Y",D35*$G$5,-D35*$G$5)</f>
        <v>32991.809508000006</v>
      </c>
      <c r="H35" s="72" t="s">
        <v>64</v>
      </c>
      <c r="I35" s="40">
        <v>646</v>
      </c>
      <c r="J35" s="40">
        <v>9268</v>
      </c>
      <c r="K35" s="40">
        <v>7553</v>
      </c>
      <c r="L35" s="40">
        <f t="shared" ref="L35:L44" si="8">K35*$G$5</f>
        <v>467908.35000000003</v>
      </c>
      <c r="N35" s="53"/>
    </row>
    <row r="36" spans="1:14" s="83" customFormat="1" x14ac:dyDescent="0.3">
      <c r="A36" s="72" t="s">
        <v>65</v>
      </c>
      <c r="B36" s="40">
        <f>Base!B33-'Third_Line_MLTS-BATS'!I36</f>
        <v>171.1400000000001</v>
      </c>
      <c r="C36" s="40">
        <f>Base!C33-'Third_Line_MLTS-BATS'!J36</f>
        <v>699.53000000000065</v>
      </c>
      <c r="D36" s="40">
        <f>Base!D33-'Third_Line_MLTS-BATS'!K36</f>
        <v>380.92847999999958</v>
      </c>
      <c r="E36" s="74" t="str">
        <f t="shared" si="6"/>
        <v>Y</v>
      </c>
      <c r="F36" s="52">
        <f t="shared" si="7"/>
        <v>23598.519335999976</v>
      </c>
      <c r="H36" s="72" t="s">
        <v>65</v>
      </c>
      <c r="I36" s="40">
        <v>679</v>
      </c>
      <c r="J36" s="40">
        <v>9453</v>
      </c>
      <c r="K36" s="40">
        <v>7604</v>
      </c>
      <c r="L36" s="40">
        <f t="shared" si="8"/>
        <v>471067.80000000005</v>
      </c>
    </row>
    <row r="37" spans="1:14" s="83" customFormat="1" x14ac:dyDescent="0.3">
      <c r="A37" s="72" t="s">
        <v>66</v>
      </c>
      <c r="B37" s="40">
        <f>Base!B34-'Third_Line_MLTS-BATS'!I37</f>
        <v>187.06000000000006</v>
      </c>
      <c r="C37" s="40">
        <f>Base!C34-'Third_Line_MLTS-BATS'!J37</f>
        <v>451.36000000000058</v>
      </c>
      <c r="D37" s="40">
        <f>Base!D34-'Third_Line_MLTS-BATS'!K37</f>
        <v>273.74039999999877</v>
      </c>
      <c r="E37" s="74" t="str">
        <f t="shared" si="6"/>
        <v>Y</v>
      </c>
      <c r="F37" s="52">
        <f t="shared" si="7"/>
        <v>16958.217779999926</v>
      </c>
      <c r="H37" s="72" t="s">
        <v>66</v>
      </c>
      <c r="I37" s="40">
        <v>753</v>
      </c>
      <c r="J37" s="40">
        <v>10009</v>
      </c>
      <c r="K37" s="40">
        <v>7955</v>
      </c>
      <c r="L37" s="40">
        <f t="shared" si="8"/>
        <v>492812.25</v>
      </c>
    </row>
    <row r="38" spans="1:14" s="83" customFormat="1" x14ac:dyDescent="0.3">
      <c r="A38" s="72" t="s">
        <v>67</v>
      </c>
      <c r="B38" s="40">
        <f>Base!B35-'Third_Line_MLTS-BATS'!I38</f>
        <v>179.56000000000006</v>
      </c>
      <c r="C38" s="40">
        <f>Base!C35-'Third_Line_MLTS-BATS'!J38</f>
        <v>477.15000000000146</v>
      </c>
      <c r="D38" s="40">
        <f>Base!D35-'Third_Line_MLTS-BATS'!K38</f>
        <v>262.56999999999971</v>
      </c>
      <c r="E38" s="74" t="str">
        <f t="shared" si="6"/>
        <v>Y</v>
      </c>
      <c r="F38" s="52">
        <f t="shared" si="7"/>
        <v>16266.211499999983</v>
      </c>
      <c r="H38" s="72" t="s">
        <v>67</v>
      </c>
      <c r="I38" s="40">
        <v>813</v>
      </c>
      <c r="J38" s="40">
        <v>10229</v>
      </c>
      <c r="K38" s="40">
        <v>8065</v>
      </c>
      <c r="L38" s="40">
        <f t="shared" si="8"/>
        <v>499626.75</v>
      </c>
    </row>
    <row r="39" spans="1:14" s="83" customFormat="1" x14ac:dyDescent="0.3">
      <c r="A39" s="72" t="s">
        <v>68</v>
      </c>
      <c r="B39" s="40">
        <f>Base!B36-'Third_Line_MLTS-BATS'!I39</f>
        <v>232.94000000000005</v>
      </c>
      <c r="C39" s="40">
        <f>Base!C36-'Third_Line_MLTS-BATS'!J39</f>
        <v>457.28999999999905</v>
      </c>
      <c r="D39" s="40">
        <f>Base!D36-'Third_Line_MLTS-BATS'!K39</f>
        <v>210.630079999999</v>
      </c>
      <c r="E39" s="74" t="str">
        <f t="shared" si="6"/>
        <v>Y</v>
      </c>
      <c r="F39" s="52">
        <f t="shared" si="7"/>
        <v>13048.533455999939</v>
      </c>
      <c r="H39" s="72" t="s">
        <v>68</v>
      </c>
      <c r="I39" s="40">
        <v>897</v>
      </c>
      <c r="J39" s="40">
        <v>10600</v>
      </c>
      <c r="K39" s="40">
        <v>8249</v>
      </c>
      <c r="L39" s="40">
        <f t="shared" si="8"/>
        <v>511025.55000000005</v>
      </c>
    </row>
    <row r="40" spans="1:14" s="83" customFormat="1" x14ac:dyDescent="0.3">
      <c r="A40" s="72" t="s">
        <v>69</v>
      </c>
      <c r="B40" s="40">
        <f>Base!B37-'Third_Line_MLTS-BATS'!I40</f>
        <v>193.81000000000017</v>
      </c>
      <c r="C40" s="40">
        <f>Base!C37-'Third_Line_MLTS-BATS'!J40</f>
        <v>212.31999999999789</v>
      </c>
      <c r="D40" s="40">
        <f>Base!D37-'Third_Line_MLTS-BATS'!K40</f>
        <v>121.93207999999868</v>
      </c>
      <c r="E40" s="74" t="str">
        <f t="shared" si="6"/>
        <v>Y</v>
      </c>
      <c r="F40" s="52">
        <f t="shared" si="7"/>
        <v>7553.6923559999186</v>
      </c>
      <c r="H40" s="72" t="s">
        <v>69</v>
      </c>
      <c r="I40" s="40">
        <v>975</v>
      </c>
      <c r="J40" s="40">
        <v>11505</v>
      </c>
      <c r="K40" s="40">
        <v>8759</v>
      </c>
      <c r="L40" s="40">
        <f t="shared" si="8"/>
        <v>542620.05000000005</v>
      </c>
    </row>
    <row r="41" spans="1:14" s="83" customFormat="1" x14ac:dyDescent="0.3">
      <c r="A41" s="72" t="s">
        <v>70</v>
      </c>
      <c r="B41" s="40">
        <f>Base!B38-'Third_Line_MLTS-BATS'!I41</f>
        <v>145.34999999999991</v>
      </c>
      <c r="C41" s="40">
        <f>Base!C38-'Third_Line_MLTS-BATS'!J41</f>
        <v>424.22999999999956</v>
      </c>
      <c r="D41" s="40">
        <f>Base!D38-'Third_Line_MLTS-BATS'!K41</f>
        <v>177.45152000000053</v>
      </c>
      <c r="E41" s="74" t="str">
        <f t="shared" si="6"/>
        <v>Y</v>
      </c>
      <c r="F41" s="52">
        <f t="shared" si="7"/>
        <v>10993.121664000033</v>
      </c>
      <c r="H41" s="72" t="s">
        <v>70</v>
      </c>
      <c r="I41" s="40">
        <v>1071</v>
      </c>
      <c r="J41" s="40">
        <v>12685</v>
      </c>
      <c r="K41" s="40">
        <v>9293</v>
      </c>
      <c r="L41" s="40">
        <f t="shared" si="8"/>
        <v>575701.35</v>
      </c>
    </row>
    <row r="42" spans="1:14" s="83" customFormat="1" x14ac:dyDescent="0.3">
      <c r="A42" s="72" t="s">
        <v>71</v>
      </c>
      <c r="B42" s="40">
        <f>Base!B39-'Third_Line_MLTS-BATS'!I42</f>
        <v>-21.789999999999964</v>
      </c>
      <c r="C42" s="40">
        <f>Base!C39-'Third_Line_MLTS-BATS'!J42</f>
        <v>352.40999999999804</v>
      </c>
      <c r="D42" s="40">
        <f>Base!D39-'Third_Line_MLTS-BATS'!K42</f>
        <v>176.82079999999769</v>
      </c>
      <c r="E42" s="74" t="str">
        <f t="shared" si="6"/>
        <v>Y</v>
      </c>
      <c r="F42" s="52">
        <f t="shared" si="7"/>
        <v>10954.048559999857</v>
      </c>
      <c r="H42" s="72" t="s">
        <v>71</v>
      </c>
      <c r="I42" s="40">
        <v>1294</v>
      </c>
      <c r="J42" s="40">
        <v>14120</v>
      </c>
      <c r="K42" s="40">
        <v>9828</v>
      </c>
      <c r="L42" s="40">
        <f t="shared" si="8"/>
        <v>608844.6</v>
      </c>
    </row>
    <row r="43" spans="1:14" s="83" customFormat="1" x14ac:dyDescent="0.3">
      <c r="A43" s="72" t="s">
        <v>72</v>
      </c>
      <c r="B43" s="40">
        <f>Base!B40-'Third_Line_MLTS-BATS'!I43</f>
        <v>26.930000000000064</v>
      </c>
      <c r="C43" s="40">
        <f>Base!C40-'Third_Line_MLTS-BATS'!J43</f>
        <v>389.26999999999862</v>
      </c>
      <c r="D43" s="40">
        <f>Base!D40-'Third_Line_MLTS-BATS'!K43</f>
        <v>259.3790399999998</v>
      </c>
      <c r="E43" s="74" t="str">
        <f t="shared" si="6"/>
        <v>Y</v>
      </c>
      <c r="F43" s="52">
        <f t="shared" si="7"/>
        <v>16068.531527999989</v>
      </c>
      <c r="H43" s="72" t="s">
        <v>72</v>
      </c>
      <c r="I43" s="40">
        <v>1282</v>
      </c>
      <c r="J43" s="40">
        <v>15212</v>
      </c>
      <c r="K43" s="40">
        <v>10006</v>
      </c>
      <c r="L43" s="40">
        <f t="shared" si="8"/>
        <v>619871.70000000007</v>
      </c>
    </row>
    <row r="44" spans="1:14" s="83" customFormat="1" x14ac:dyDescent="0.3">
      <c r="A44" s="72" t="s">
        <v>73</v>
      </c>
      <c r="B44" s="40">
        <f>Base!B41-'Third_Line_MLTS-BATS'!I44</f>
        <v>-121.72000000000025</v>
      </c>
      <c r="C44" s="40">
        <f>Base!C41-'Third_Line_MLTS-BATS'!J44</f>
        <v>116.52000000000044</v>
      </c>
      <c r="D44" s="40">
        <f>Base!D41-'Third_Line_MLTS-BATS'!K44</f>
        <v>132.91056000000026</v>
      </c>
      <c r="E44" s="74" t="str">
        <f t="shared" si="6"/>
        <v>Y</v>
      </c>
      <c r="F44" s="52">
        <f t="shared" si="7"/>
        <v>8233.809192000017</v>
      </c>
      <c r="H44" s="72" t="s">
        <v>73</v>
      </c>
      <c r="I44" s="40">
        <v>1555</v>
      </c>
      <c r="J44" s="40">
        <v>17947</v>
      </c>
      <c r="K44" s="40">
        <v>11164</v>
      </c>
      <c r="L44" s="40">
        <f t="shared" si="8"/>
        <v>691609.8</v>
      </c>
    </row>
    <row r="45" spans="1:14" s="83" customFormat="1" ht="15" thickBot="1" x14ac:dyDescent="0.35">
      <c r="E45" s="60">
        <f>COUNTIF(E35:E44,"Y")</f>
        <v>10</v>
      </c>
      <c r="F45" s="62">
        <f>-PV($G$6,$G$7-7,F44)</f>
        <v>78792.880102183641</v>
      </c>
      <c r="G45" s="55" t="s">
        <v>11</v>
      </c>
    </row>
    <row r="46" spans="1:14" s="83" customFormat="1" ht="15" thickTop="1" x14ac:dyDescent="0.3"/>
    <row r="47" spans="1:14" s="83" customFormat="1" ht="15.6" x14ac:dyDescent="0.3">
      <c r="A47" s="409" t="s">
        <v>56</v>
      </c>
      <c r="B47" s="410"/>
      <c r="C47" s="410"/>
      <c r="D47" s="410"/>
      <c r="E47" s="410"/>
      <c r="F47" s="411"/>
      <c r="H47" s="406" t="s">
        <v>60</v>
      </c>
      <c r="I47" s="406"/>
      <c r="J47" s="406"/>
      <c r="K47" s="406"/>
      <c r="L47" s="406"/>
    </row>
    <row r="48" spans="1:14" s="83" customFormat="1" ht="43.2" x14ac:dyDescent="0.3">
      <c r="A48" s="94" t="s">
        <v>5</v>
      </c>
      <c r="B48" s="51" t="s">
        <v>151</v>
      </c>
      <c r="C48" s="51" t="s">
        <v>152</v>
      </c>
      <c r="D48" s="51" t="s">
        <v>153</v>
      </c>
      <c r="E48" s="51" t="s">
        <v>12</v>
      </c>
      <c r="F48" s="51" t="s">
        <v>58</v>
      </c>
      <c r="H48" s="94" t="s">
        <v>5</v>
      </c>
      <c r="I48" s="51" t="s">
        <v>75</v>
      </c>
      <c r="J48" s="51" t="s">
        <v>51</v>
      </c>
      <c r="K48" s="50" t="s">
        <v>0</v>
      </c>
      <c r="L48" s="51" t="s">
        <v>58</v>
      </c>
    </row>
    <row r="49" spans="1:12" s="83" customFormat="1" x14ac:dyDescent="0.3">
      <c r="A49" s="72" t="s">
        <v>64</v>
      </c>
      <c r="B49" s="40">
        <f>Base!B46-'Third_Line_MLTS-BATS'!I49</f>
        <v>158.43999999999994</v>
      </c>
      <c r="C49" s="40">
        <f>Base!C46-'Third_Line_MLTS-BATS'!J49</f>
        <v>978.69000000000233</v>
      </c>
      <c r="D49" s="40">
        <f>Base!D46-'Third_Line_MLTS-BATS'!K49</f>
        <v>534.94128000000092</v>
      </c>
      <c r="E49" s="74" t="str">
        <f>E35</f>
        <v>Y</v>
      </c>
      <c r="F49" s="52">
        <f t="shared" ref="F49:F58" si="9">IF(E49="Y",D49*$G$5,-D49*$G$5)</f>
        <v>33139.612296000058</v>
      </c>
      <c r="H49" s="72" t="s">
        <v>64</v>
      </c>
      <c r="I49" s="40">
        <v>645.54000000000008</v>
      </c>
      <c r="J49" s="40">
        <v>9267.52</v>
      </c>
      <c r="K49" s="40">
        <v>7552.6455999999998</v>
      </c>
      <c r="L49" s="40">
        <f t="shared" ref="L49:L58" si="10">K49*$G$5</f>
        <v>467886.39491999999</v>
      </c>
    </row>
    <row r="50" spans="1:12" s="83" customFormat="1" x14ac:dyDescent="0.3">
      <c r="A50" s="72" t="s">
        <v>65</v>
      </c>
      <c r="B50" s="40">
        <f>Base!B47-'Third_Line_MLTS-BATS'!I50</f>
        <v>175.13000000000011</v>
      </c>
      <c r="C50" s="40">
        <f>Base!C47-'Third_Line_MLTS-BATS'!J50</f>
        <v>872.05000000000109</v>
      </c>
      <c r="D50" s="40">
        <f>Base!D47-'Third_Line_MLTS-BATS'!K50</f>
        <v>448.88199999999961</v>
      </c>
      <c r="E50" s="74" t="str">
        <f t="shared" ref="E50:E58" si="11">E36</f>
        <v>Y</v>
      </c>
      <c r="F50" s="52">
        <f t="shared" si="9"/>
        <v>27808.239899999979</v>
      </c>
      <c r="H50" s="72" t="s">
        <v>65</v>
      </c>
      <c r="I50" s="40">
        <v>676.01</v>
      </c>
      <c r="J50" s="40">
        <v>9448.6099999999988</v>
      </c>
      <c r="K50" s="40">
        <v>7600.4585599999991</v>
      </c>
      <c r="L50" s="40">
        <f t="shared" si="10"/>
        <v>470848.40779199998</v>
      </c>
    </row>
    <row r="51" spans="1:12" s="83" customFormat="1" x14ac:dyDescent="0.3">
      <c r="A51" s="72" t="s">
        <v>66</v>
      </c>
      <c r="B51" s="40">
        <f>Base!B48-'Third_Line_MLTS-BATS'!I51</f>
        <v>184.68000000000006</v>
      </c>
      <c r="C51" s="40">
        <f>Base!C48-'Third_Line_MLTS-BATS'!J51</f>
        <v>884.79000000000087</v>
      </c>
      <c r="D51" s="40">
        <f>Base!D48-'Third_Line_MLTS-BATS'!K51</f>
        <v>443.52599999999984</v>
      </c>
      <c r="E51" s="74" t="str">
        <f t="shared" si="11"/>
        <v>Y</v>
      </c>
      <c r="F51" s="52">
        <f t="shared" si="9"/>
        <v>27476.435699999991</v>
      </c>
      <c r="H51" s="72" t="s">
        <v>66</v>
      </c>
      <c r="I51" s="40">
        <v>754.66000000000008</v>
      </c>
      <c r="J51" s="40">
        <v>9982.1500000000015</v>
      </c>
      <c r="K51" s="40">
        <v>7945.38256</v>
      </c>
      <c r="L51" s="40">
        <f t="shared" si="10"/>
        <v>492216.44959200005</v>
      </c>
    </row>
    <row r="52" spans="1:12" s="83" customFormat="1" x14ac:dyDescent="0.3">
      <c r="A52" s="72" t="s">
        <v>67</v>
      </c>
      <c r="B52" s="40">
        <f>Base!B49-'Third_Line_MLTS-BATS'!I52</f>
        <v>217.22000000000003</v>
      </c>
      <c r="C52" s="40">
        <f>Base!C49-'Third_Line_MLTS-BATS'!J52</f>
        <v>959.59000000000196</v>
      </c>
      <c r="D52" s="40">
        <f>Base!D49-'Third_Line_MLTS-BATS'!K52</f>
        <v>498.63616000000002</v>
      </c>
      <c r="E52" s="74" t="str">
        <f t="shared" si="11"/>
        <v>Y</v>
      </c>
      <c r="F52" s="52">
        <f t="shared" si="9"/>
        <v>30890.510112000004</v>
      </c>
      <c r="H52" s="72" t="s">
        <v>67</v>
      </c>
      <c r="I52" s="40">
        <v>839.03</v>
      </c>
      <c r="J52" s="40">
        <v>10736.49</v>
      </c>
      <c r="K52" s="40">
        <v>8387.1280800000004</v>
      </c>
      <c r="L52" s="40">
        <f t="shared" si="10"/>
        <v>519582.58455600007</v>
      </c>
    </row>
    <row r="53" spans="1:12" s="83" customFormat="1" x14ac:dyDescent="0.3">
      <c r="A53" s="72" t="s">
        <v>68</v>
      </c>
      <c r="B53" s="40">
        <f>Base!B50-'Third_Line_MLTS-BATS'!I53</f>
        <v>54.610000000000127</v>
      </c>
      <c r="C53" s="40">
        <f>Base!C50-'Third_Line_MLTS-BATS'!J53</f>
        <v>1065.1399999999976</v>
      </c>
      <c r="D53" s="40">
        <f>Base!D50-'Third_Line_MLTS-BATS'!K53</f>
        <v>522.57319999999891</v>
      </c>
      <c r="E53" s="74" t="str">
        <f t="shared" si="11"/>
        <v>Y</v>
      </c>
      <c r="F53" s="52">
        <f t="shared" si="9"/>
        <v>32373.409739999934</v>
      </c>
      <c r="H53" s="72" t="s">
        <v>68</v>
      </c>
      <c r="I53" s="40">
        <v>1100.99</v>
      </c>
      <c r="J53" s="40">
        <v>11427.36</v>
      </c>
      <c r="K53" s="40">
        <v>8788.0096799999992</v>
      </c>
      <c r="L53" s="40">
        <f t="shared" si="10"/>
        <v>544417.19967599993</v>
      </c>
    </row>
    <row r="54" spans="1:12" s="83" customFormat="1" x14ac:dyDescent="0.3">
      <c r="A54" s="72" t="s">
        <v>69</v>
      </c>
      <c r="B54" s="40">
        <f>Base!B51-'Third_Line_MLTS-BATS'!I54</f>
        <v>233.08000000000015</v>
      </c>
      <c r="C54" s="40">
        <f>Base!C51-'Third_Line_MLTS-BATS'!J54</f>
        <v>1239.25</v>
      </c>
      <c r="D54" s="40">
        <f>Base!D51-'Third_Line_MLTS-BATS'!K54</f>
        <v>526.88703999999962</v>
      </c>
      <c r="E54" s="74" t="str">
        <f t="shared" si="11"/>
        <v>Y</v>
      </c>
      <c r="F54" s="52">
        <f t="shared" si="9"/>
        <v>32640.652127999976</v>
      </c>
      <c r="H54" s="72" t="s">
        <v>69</v>
      </c>
      <c r="I54" s="40">
        <v>1150.33</v>
      </c>
      <c r="J54" s="40">
        <v>12069.14</v>
      </c>
      <c r="K54" s="40">
        <v>9281.0823199999995</v>
      </c>
      <c r="L54" s="40">
        <f t="shared" si="10"/>
        <v>574963.04972400004</v>
      </c>
    </row>
    <row r="55" spans="1:12" s="83" customFormat="1" x14ac:dyDescent="0.3">
      <c r="A55" s="72" t="s">
        <v>70</v>
      </c>
      <c r="B55" s="40">
        <f>Base!B52-'Third_Line_MLTS-BATS'!I55</f>
        <v>103.73999999999978</v>
      </c>
      <c r="C55" s="40">
        <f>Base!C52-'Third_Line_MLTS-BATS'!J55</f>
        <v>1338.2499999999964</v>
      </c>
      <c r="D55" s="40">
        <f>Base!D52-'Third_Line_MLTS-BATS'!K55</f>
        <v>741.10287999999855</v>
      </c>
      <c r="E55" s="74" t="str">
        <f t="shared" si="11"/>
        <v>Y</v>
      </c>
      <c r="F55" s="52">
        <f t="shared" si="9"/>
        <v>45911.323415999912</v>
      </c>
      <c r="H55" s="72" t="s">
        <v>70</v>
      </c>
      <c r="I55" s="40">
        <v>1300.0200000000002</v>
      </c>
      <c r="J55" s="40">
        <v>13339.72</v>
      </c>
      <c r="K55" s="40">
        <v>9653.4743199999994</v>
      </c>
      <c r="L55" s="40">
        <f t="shared" si="10"/>
        <v>598032.73412399995</v>
      </c>
    </row>
    <row r="56" spans="1:12" s="83" customFormat="1" x14ac:dyDescent="0.3">
      <c r="A56" s="72" t="s">
        <v>71</v>
      </c>
      <c r="B56" s="40">
        <f>Base!B53-'Third_Line_MLTS-BATS'!I56</f>
        <v>-77.600000000000136</v>
      </c>
      <c r="C56" s="40">
        <f>Base!C53-'Third_Line_MLTS-BATS'!J56</f>
        <v>1387.9399999999969</v>
      </c>
      <c r="D56" s="40">
        <f>Base!D53-'Third_Line_MLTS-BATS'!K56</f>
        <v>806.04223999999886</v>
      </c>
      <c r="E56" s="74" t="str">
        <f t="shared" si="11"/>
        <v>Y</v>
      </c>
      <c r="F56" s="52">
        <f t="shared" si="9"/>
        <v>49934.316767999931</v>
      </c>
      <c r="H56" s="72" t="s">
        <v>71</v>
      </c>
      <c r="I56" s="40">
        <v>1519.1100000000001</v>
      </c>
      <c r="J56" s="40">
        <v>15129.44</v>
      </c>
      <c r="K56" s="40">
        <v>10310.01584</v>
      </c>
      <c r="L56" s="40">
        <f t="shared" si="10"/>
        <v>638705.48128800001</v>
      </c>
    </row>
    <row r="57" spans="1:12" s="83" customFormat="1" x14ac:dyDescent="0.3">
      <c r="A57" s="72" t="s">
        <v>72</v>
      </c>
      <c r="B57" s="40">
        <f>Base!B54-'Third_Line_MLTS-BATS'!I57</f>
        <v>-171.87999999999988</v>
      </c>
      <c r="C57" s="40">
        <f>Base!C54-'Third_Line_MLTS-BATS'!J57</f>
        <v>1601.3100000000049</v>
      </c>
      <c r="D57" s="40">
        <f>Base!D54-'Third_Line_MLTS-BATS'!K57</f>
        <v>807.22271999999975</v>
      </c>
      <c r="E57" s="74" t="str">
        <f t="shared" si="11"/>
        <v>Y</v>
      </c>
      <c r="F57" s="52">
        <f t="shared" si="9"/>
        <v>50007.447503999989</v>
      </c>
      <c r="H57" s="72" t="s">
        <v>72</v>
      </c>
      <c r="I57" s="40">
        <v>1837.78</v>
      </c>
      <c r="J57" s="40">
        <v>17563.919999999998</v>
      </c>
      <c r="K57" s="40">
        <v>11506.98</v>
      </c>
      <c r="L57" s="40">
        <f t="shared" si="10"/>
        <v>712857.41099999996</v>
      </c>
    </row>
    <row r="58" spans="1:12" s="83" customFormat="1" x14ac:dyDescent="0.3">
      <c r="A58" s="72" t="s">
        <v>73</v>
      </c>
      <c r="B58" s="40">
        <f>Base!B55-'Third_Line_MLTS-BATS'!I58</f>
        <v>-43.250000000000227</v>
      </c>
      <c r="C58" s="40">
        <f>Base!C55-'Third_Line_MLTS-BATS'!J58</f>
        <v>2004.7600000000057</v>
      </c>
      <c r="D58" s="40">
        <f>Base!D55-'Third_Line_MLTS-BATS'!K58</f>
        <v>923.36392000000342</v>
      </c>
      <c r="E58" s="74" t="str">
        <f t="shared" si="11"/>
        <v>Y</v>
      </c>
      <c r="F58" s="52">
        <f t="shared" si="9"/>
        <v>57202.394844000213</v>
      </c>
      <c r="H58" s="72" t="s">
        <v>73</v>
      </c>
      <c r="I58" s="40">
        <v>1993.0800000000002</v>
      </c>
      <c r="J58" s="40">
        <v>21152.279999999995</v>
      </c>
      <c r="K58" s="40">
        <v>13068.963839999997</v>
      </c>
      <c r="L58" s="40">
        <f t="shared" si="10"/>
        <v>809622.30988799979</v>
      </c>
    </row>
    <row r="59" spans="1:12" s="83" customFormat="1" ht="15" thickBot="1" x14ac:dyDescent="0.35">
      <c r="E59" s="60">
        <f>COUNTIF(E49:E58,"Y")</f>
        <v>10</v>
      </c>
      <c r="F59" s="62">
        <f>-PV($G$6,$G$7-7,F58)</f>
        <v>547394.4481103865</v>
      </c>
      <c r="G59" s="55" t="s">
        <v>11</v>
      </c>
    </row>
    <row r="60" spans="1:12" s="83" customFormat="1" ht="15" thickTop="1" x14ac:dyDescent="0.3"/>
    <row r="61" spans="1:12" s="83" customFormat="1" ht="15.6" x14ac:dyDescent="0.3">
      <c r="A61" s="409" t="s">
        <v>55</v>
      </c>
      <c r="B61" s="410"/>
      <c r="C61" s="410"/>
      <c r="D61" s="410"/>
      <c r="E61" s="410"/>
      <c r="F61" s="411"/>
      <c r="H61" s="406" t="s">
        <v>61</v>
      </c>
      <c r="I61" s="406"/>
      <c r="J61" s="406"/>
      <c r="K61" s="406"/>
      <c r="L61" s="406"/>
    </row>
    <row r="62" spans="1:12" s="83" customFormat="1" ht="43.2" x14ac:dyDescent="0.3">
      <c r="A62" s="94" t="s">
        <v>5</v>
      </c>
      <c r="B62" s="51" t="s">
        <v>151</v>
      </c>
      <c r="C62" s="51" t="s">
        <v>152</v>
      </c>
      <c r="D62" s="51" t="s">
        <v>153</v>
      </c>
      <c r="E62" s="51" t="s">
        <v>12</v>
      </c>
      <c r="F62" s="51" t="s">
        <v>58</v>
      </c>
      <c r="H62" s="94" t="s">
        <v>5</v>
      </c>
      <c r="I62" s="51" t="s">
        <v>75</v>
      </c>
      <c r="J62" s="51" t="s">
        <v>51</v>
      </c>
      <c r="K62" s="50" t="s">
        <v>0</v>
      </c>
      <c r="L62" s="51" t="s">
        <v>58</v>
      </c>
    </row>
    <row r="63" spans="1:12" s="83" customFormat="1" x14ac:dyDescent="0.3">
      <c r="A63" s="72" t="s">
        <v>64</v>
      </c>
      <c r="B63" s="40">
        <f>Base!B60-'Third_Line_MLTS-BATS'!I63</f>
        <v>192.8599999999999</v>
      </c>
      <c r="C63" s="40">
        <f>Base!C60-'Third_Line_MLTS-BATS'!J63</f>
        <v>1078.6800000000003</v>
      </c>
      <c r="D63" s="40">
        <f>Base!D60-'Third_Line_MLTS-BATS'!K63</f>
        <v>695.22576000000026</v>
      </c>
      <c r="E63" s="74" t="str">
        <f>E35</f>
        <v>Y</v>
      </c>
      <c r="F63" s="52">
        <f t="shared" ref="F63:F72" si="12">IF(E63="Y",D63*$G$5,-D63*$G$5)</f>
        <v>43069.23583200002</v>
      </c>
      <c r="H63" s="72" t="s">
        <v>64</v>
      </c>
      <c r="I63" s="40">
        <v>573.62</v>
      </c>
      <c r="J63" s="40">
        <v>8859.4</v>
      </c>
      <c r="K63" s="40">
        <v>7213.4226399999998</v>
      </c>
      <c r="L63" s="40">
        <f t="shared" ref="L63:L72" si="13">K63*$G$5</f>
        <v>446871.53254799999</v>
      </c>
    </row>
    <row r="64" spans="1:12" s="83" customFormat="1" x14ac:dyDescent="0.3">
      <c r="A64" s="72" t="s">
        <v>65</v>
      </c>
      <c r="B64" s="40">
        <f>Base!B61-'Third_Line_MLTS-BATS'!I64</f>
        <v>199.84000000000003</v>
      </c>
      <c r="C64" s="40">
        <f>Base!C61-'Third_Line_MLTS-BATS'!J64</f>
        <v>834.28000000000065</v>
      </c>
      <c r="D64" s="40">
        <f>Base!D61-'Third_Line_MLTS-BATS'!K64</f>
        <v>563.34807999999884</v>
      </c>
      <c r="E64" s="74" t="str">
        <f t="shared" ref="E64:E72" si="14">E36</f>
        <v>Y</v>
      </c>
      <c r="F64" s="52">
        <f t="shared" si="12"/>
        <v>34899.413555999927</v>
      </c>
      <c r="H64" s="72" t="s">
        <v>65</v>
      </c>
      <c r="I64" s="40">
        <v>599.69999999999993</v>
      </c>
      <c r="J64" s="40">
        <v>8979.1299999999992</v>
      </c>
      <c r="K64" s="40">
        <v>7267.0883200000007</v>
      </c>
      <c r="L64" s="40">
        <f t="shared" si="13"/>
        <v>450196.12142400007</v>
      </c>
    </row>
    <row r="65" spans="1:15" s="83" customFormat="1" x14ac:dyDescent="0.3">
      <c r="A65" s="72" t="s">
        <v>66</v>
      </c>
      <c r="B65" s="40">
        <f>Base!B62-'Third_Line_MLTS-BATS'!I65</f>
        <v>217.47000000000003</v>
      </c>
      <c r="C65" s="40">
        <f>Base!C62-'Third_Line_MLTS-BATS'!J65</f>
        <v>704.53000000000065</v>
      </c>
      <c r="D65" s="40">
        <f>Base!D62-'Third_Line_MLTS-BATS'!K65</f>
        <v>505.60624000000098</v>
      </c>
      <c r="E65" s="74" t="str">
        <f t="shared" si="14"/>
        <v>Y</v>
      </c>
      <c r="F65" s="52">
        <f t="shared" si="12"/>
        <v>31322.306568000062</v>
      </c>
      <c r="H65" s="72" t="s">
        <v>66</v>
      </c>
      <c r="I65" s="40">
        <v>607.94000000000005</v>
      </c>
      <c r="J65" s="40">
        <v>9143.08</v>
      </c>
      <c r="K65" s="40">
        <v>7381.6153599999998</v>
      </c>
      <c r="L65" s="40">
        <f t="shared" si="13"/>
        <v>457291.07155200001</v>
      </c>
    </row>
    <row r="66" spans="1:15" s="83" customFormat="1" x14ac:dyDescent="0.3">
      <c r="A66" s="72" t="s">
        <v>67</v>
      </c>
      <c r="B66" s="40">
        <f>Base!B63-'Third_Line_MLTS-BATS'!I66</f>
        <v>243.05999999999995</v>
      </c>
      <c r="C66" s="40">
        <f>Base!C63-'Third_Line_MLTS-BATS'!J66</f>
        <v>910.36000000000422</v>
      </c>
      <c r="D66" s="40">
        <f>Base!D63-'Third_Line_MLTS-BATS'!K66</f>
        <v>649.69408000000021</v>
      </c>
      <c r="E66" s="74" t="str">
        <f t="shared" si="14"/>
        <v>Y</v>
      </c>
      <c r="F66" s="52">
        <f t="shared" si="12"/>
        <v>40248.548256000016</v>
      </c>
      <c r="H66" s="72" t="s">
        <v>67</v>
      </c>
      <c r="I66" s="40">
        <v>609.83000000000004</v>
      </c>
      <c r="J66" s="40">
        <v>9041.8599999999988</v>
      </c>
      <c r="K66" s="40">
        <v>7298.6584000000003</v>
      </c>
      <c r="L66" s="40">
        <f t="shared" si="13"/>
        <v>452151.88788000005</v>
      </c>
    </row>
    <row r="67" spans="1:15" s="83" customFormat="1" x14ac:dyDescent="0.3">
      <c r="A67" s="72" t="s">
        <v>68</v>
      </c>
      <c r="B67" s="40">
        <f>Base!B64-'Third_Line_MLTS-BATS'!I67</f>
        <v>294.98000000000025</v>
      </c>
      <c r="C67" s="40">
        <f>Base!C64-'Third_Line_MLTS-BATS'!J67</f>
        <v>970.65000000000146</v>
      </c>
      <c r="D67" s="40">
        <f>Base!D64-'Third_Line_MLTS-BATS'!K67</f>
        <v>701.24231999999938</v>
      </c>
      <c r="E67" s="74" t="str">
        <f t="shared" si="14"/>
        <v>Y</v>
      </c>
      <c r="F67" s="52">
        <f t="shared" si="12"/>
        <v>43441.961723999964</v>
      </c>
      <c r="H67" s="72" t="s">
        <v>68</v>
      </c>
      <c r="I67" s="40">
        <v>670.71999999999991</v>
      </c>
      <c r="J67" s="40">
        <v>9276.99</v>
      </c>
      <c r="K67" s="40">
        <v>7386.2503199999992</v>
      </c>
      <c r="L67" s="40">
        <f t="shared" si="13"/>
        <v>457578.20732399996</v>
      </c>
    </row>
    <row r="68" spans="1:15" s="83" customFormat="1" x14ac:dyDescent="0.3">
      <c r="A68" s="72" t="s">
        <v>69</v>
      </c>
      <c r="B68" s="40">
        <f>Base!B65-'Third_Line_MLTS-BATS'!I68</f>
        <v>296.49999999999989</v>
      </c>
      <c r="C68" s="40">
        <f>Base!C65-'Third_Line_MLTS-BATS'!J68</f>
        <v>1025.25</v>
      </c>
      <c r="D68" s="40">
        <f>Base!D65-'Third_Line_MLTS-BATS'!K68</f>
        <v>782.86103999999796</v>
      </c>
      <c r="E68" s="74" t="str">
        <f t="shared" si="14"/>
        <v>Y</v>
      </c>
      <c r="F68" s="52">
        <f t="shared" si="12"/>
        <v>48498.241427999877</v>
      </c>
      <c r="H68" s="72" t="s">
        <v>69</v>
      </c>
      <c r="I68" s="40">
        <v>709.88</v>
      </c>
      <c r="J68" s="40">
        <v>9497.69</v>
      </c>
      <c r="K68" s="40">
        <v>7512.2664800000002</v>
      </c>
      <c r="L68" s="40">
        <f t="shared" si="13"/>
        <v>465384.90843600006</v>
      </c>
    </row>
    <row r="69" spans="1:15" s="83" customFormat="1" x14ac:dyDescent="0.3">
      <c r="A69" s="72" t="s">
        <v>70</v>
      </c>
      <c r="B69" s="40">
        <f>Base!B66-'Third_Line_MLTS-BATS'!I69</f>
        <v>277.9100000000002</v>
      </c>
      <c r="C69" s="40">
        <f>Base!C66-'Third_Line_MLTS-BATS'!J69</f>
        <v>1065.2200000000012</v>
      </c>
      <c r="D69" s="40">
        <f>Base!D66-'Third_Line_MLTS-BATS'!K69</f>
        <v>803.48223999999936</v>
      </c>
      <c r="E69" s="74" t="str">
        <f t="shared" si="14"/>
        <v>Y</v>
      </c>
      <c r="F69" s="52">
        <f t="shared" si="12"/>
        <v>49775.724767999964</v>
      </c>
      <c r="H69" s="72" t="s">
        <v>70</v>
      </c>
      <c r="I69" s="40">
        <v>789.65</v>
      </c>
      <c r="J69" s="40">
        <v>9979.5199999999986</v>
      </c>
      <c r="K69" s="40">
        <v>7727.4519199999995</v>
      </c>
      <c r="L69" s="40">
        <f t="shared" si="13"/>
        <v>478715.64644400001</v>
      </c>
    </row>
    <row r="70" spans="1:15" s="83" customFormat="1" x14ac:dyDescent="0.3">
      <c r="A70" s="72" t="s">
        <v>71</v>
      </c>
      <c r="B70" s="40">
        <f>Base!B67-'Third_Line_MLTS-BATS'!I70</f>
        <v>288.24999999999989</v>
      </c>
      <c r="C70" s="40">
        <f>Base!C67-'Third_Line_MLTS-BATS'!J70</f>
        <v>1087.6100000000024</v>
      </c>
      <c r="D70" s="40">
        <f>Base!D67-'Third_Line_MLTS-BATS'!K70</f>
        <v>823.77728000000025</v>
      </c>
      <c r="E70" s="74" t="str">
        <f t="shared" si="14"/>
        <v>Y</v>
      </c>
      <c r="F70" s="52">
        <f t="shared" si="12"/>
        <v>51033.002496000016</v>
      </c>
      <c r="H70" s="72" t="s">
        <v>71</v>
      </c>
      <c r="I70" s="40">
        <v>810.87</v>
      </c>
      <c r="J70" s="40">
        <v>10446.999999999998</v>
      </c>
      <c r="K70" s="40">
        <v>7940.3699199999992</v>
      </c>
      <c r="L70" s="40">
        <f t="shared" si="13"/>
        <v>491905.91654399998</v>
      </c>
    </row>
    <row r="71" spans="1:15" s="83" customFormat="1" x14ac:dyDescent="0.3">
      <c r="A71" s="72" t="s">
        <v>72</v>
      </c>
      <c r="B71" s="40">
        <f>Base!B68-'Third_Line_MLTS-BATS'!I71</f>
        <v>268.91000000000008</v>
      </c>
      <c r="C71" s="40">
        <f>Base!C68-'Third_Line_MLTS-BATS'!J71</f>
        <v>984.27000000000044</v>
      </c>
      <c r="D71" s="40">
        <f>Base!D68-'Third_Line_MLTS-BATS'!K71</f>
        <v>731.60807999999997</v>
      </c>
      <c r="E71" s="74" t="str">
        <f t="shared" si="14"/>
        <v>Y</v>
      </c>
      <c r="F71" s="52">
        <f t="shared" si="12"/>
        <v>45323.120556000002</v>
      </c>
      <c r="H71" s="72" t="s">
        <v>72</v>
      </c>
      <c r="I71" s="40">
        <v>774.17000000000007</v>
      </c>
      <c r="J71" s="40">
        <v>10506.569999999998</v>
      </c>
      <c r="K71" s="40">
        <v>7835.3428799999983</v>
      </c>
      <c r="L71" s="40">
        <f t="shared" si="13"/>
        <v>485399.49141599995</v>
      </c>
    </row>
    <row r="72" spans="1:15" s="83" customFormat="1" x14ac:dyDescent="0.3">
      <c r="A72" s="72" t="s">
        <v>73</v>
      </c>
      <c r="B72" s="40">
        <f>Base!B69-'Third_Line_MLTS-BATS'!I72</f>
        <v>280.5200000000001</v>
      </c>
      <c r="C72" s="40">
        <f>Base!C69-'Third_Line_MLTS-BATS'!J72</f>
        <v>1107.4399999999987</v>
      </c>
      <c r="D72" s="40">
        <f>Base!D69-'Third_Line_MLTS-BATS'!K72</f>
        <v>802.9330400000008</v>
      </c>
      <c r="E72" s="74" t="str">
        <f t="shared" si="14"/>
        <v>Y</v>
      </c>
      <c r="F72" s="52">
        <f t="shared" si="12"/>
        <v>49741.701828000048</v>
      </c>
      <c r="H72" s="72" t="s">
        <v>73</v>
      </c>
      <c r="I72" s="40">
        <v>803.6</v>
      </c>
      <c r="J72" s="40">
        <v>11395.09</v>
      </c>
      <c r="K72" s="40">
        <v>8135.2556799999993</v>
      </c>
      <c r="L72" s="40">
        <f t="shared" si="13"/>
        <v>503979.08937599999</v>
      </c>
    </row>
    <row r="73" spans="1:15" s="83" customFormat="1" ht="15" thickBot="1" x14ac:dyDescent="0.35">
      <c r="E73" s="60">
        <f>COUNTIF(E63:E72,"Y")</f>
        <v>10</v>
      </c>
      <c r="F73" s="62">
        <f>-PV($G$6,$G$7-7,F72)</f>
        <v>475999.85095843219</v>
      </c>
      <c r="G73" s="55" t="s">
        <v>11</v>
      </c>
    </row>
    <row r="74" spans="1:15" s="83" customFormat="1" ht="15" thickTop="1" x14ac:dyDescent="0.3"/>
    <row r="75" spans="1:15" s="83" customFormat="1" ht="15.6" x14ac:dyDescent="0.3">
      <c r="A75" s="409" t="s">
        <v>54</v>
      </c>
      <c r="B75" s="410"/>
      <c r="C75" s="410"/>
      <c r="D75" s="410"/>
      <c r="E75" s="410"/>
      <c r="F75" s="411"/>
      <c r="H75" s="406" t="s">
        <v>62</v>
      </c>
      <c r="I75" s="406"/>
      <c r="J75" s="406"/>
      <c r="K75" s="406"/>
      <c r="L75" s="406"/>
    </row>
    <row r="76" spans="1:15" s="83" customFormat="1" ht="43.2" x14ac:dyDescent="0.3">
      <c r="A76" s="94" t="s">
        <v>5</v>
      </c>
      <c r="B76" s="51" t="s">
        <v>151</v>
      </c>
      <c r="C76" s="51" t="s">
        <v>152</v>
      </c>
      <c r="D76" s="51" t="s">
        <v>153</v>
      </c>
      <c r="E76" s="51" t="s">
        <v>12</v>
      </c>
      <c r="F76" s="51" t="s">
        <v>58</v>
      </c>
      <c r="H76" s="94" t="s">
        <v>5</v>
      </c>
      <c r="I76" s="51" t="s">
        <v>75</v>
      </c>
      <c r="J76" s="51" t="s">
        <v>51</v>
      </c>
      <c r="K76" s="50" t="s">
        <v>0</v>
      </c>
      <c r="L76" s="51" t="s">
        <v>58</v>
      </c>
    </row>
    <row r="77" spans="1:15" s="83" customFormat="1" x14ac:dyDescent="0.3">
      <c r="A77" s="72" t="s">
        <v>64</v>
      </c>
      <c r="B77" s="40">
        <f>Base!B74-'Third_Line_MLTS-BATS'!I77</f>
        <v>150.11000000000001</v>
      </c>
      <c r="C77" s="40">
        <f>Base!C74-'Third_Line_MLTS-BATS'!J77</f>
        <v>858.68000000000029</v>
      </c>
      <c r="D77" s="40">
        <f>Base!D74-'Third_Line_MLTS-BATS'!K77</f>
        <v>465.08503999999903</v>
      </c>
      <c r="E77" s="74" t="str">
        <f>E35</f>
        <v>Y</v>
      </c>
      <c r="F77" s="52">
        <f t="shared" ref="F77:F86" si="15">IF(E77="Y",D77*$G$5,-D77*$G$5)</f>
        <v>28812.018227999943</v>
      </c>
      <c r="H77" s="72" t="s">
        <v>64</v>
      </c>
      <c r="I77" s="40">
        <v>616.36999999999989</v>
      </c>
      <c r="J77" s="40">
        <v>9079.4</v>
      </c>
      <c r="K77" s="40">
        <v>7443.563360000001</v>
      </c>
      <c r="L77" s="40">
        <f t="shared" ref="L77:L86" si="16">K77*$G$5</f>
        <v>461128.75015200011</v>
      </c>
    </row>
    <row r="78" spans="1:15" s="83" customFormat="1" x14ac:dyDescent="0.3">
      <c r="A78" s="72" t="s">
        <v>65</v>
      </c>
      <c r="B78" s="40">
        <f>Base!B75-'Third_Line_MLTS-BATS'!I78</f>
        <v>159.86000000000013</v>
      </c>
      <c r="C78" s="40">
        <f>Base!C75-'Third_Line_MLTS-BATS'!J78</f>
        <v>726.06999999999971</v>
      </c>
      <c r="D78" s="40">
        <f>Base!D75-'Third_Line_MLTS-BATS'!K78</f>
        <v>369.56487999999899</v>
      </c>
      <c r="E78" s="74" t="str">
        <f t="shared" ref="E78:E86" si="17">E36</f>
        <v>Y</v>
      </c>
      <c r="F78" s="52">
        <f t="shared" si="15"/>
        <v>22894.544315999938</v>
      </c>
      <c r="H78" s="72" t="s">
        <v>65</v>
      </c>
      <c r="I78" s="40">
        <v>634.86999999999989</v>
      </c>
      <c r="J78" s="40">
        <v>9219.48</v>
      </c>
      <c r="K78" s="40">
        <v>7517.3145599999998</v>
      </c>
      <c r="L78" s="40">
        <f t="shared" si="16"/>
        <v>465697.63699199999</v>
      </c>
    </row>
    <row r="79" spans="1:15" s="83" customFormat="1" x14ac:dyDescent="0.3">
      <c r="A79" s="72" t="s">
        <v>66</v>
      </c>
      <c r="B79" s="40">
        <f>Base!B76-'Third_Line_MLTS-BATS'!I79</f>
        <v>158.56000000000006</v>
      </c>
      <c r="C79" s="40">
        <f>Base!C76-'Third_Line_MLTS-BATS'!J79</f>
        <v>756.71999999999935</v>
      </c>
      <c r="D79" s="40">
        <f>Base!D76-'Third_Line_MLTS-BATS'!K79</f>
        <v>387.45023999999921</v>
      </c>
      <c r="E79" s="74" t="str">
        <f t="shared" si="17"/>
        <v>Y</v>
      </c>
      <c r="F79" s="52">
        <f t="shared" si="15"/>
        <v>24002.542367999951</v>
      </c>
      <c r="H79" s="72" t="s">
        <v>66</v>
      </c>
      <c r="I79" s="40">
        <v>663.47</v>
      </c>
      <c r="J79" s="40">
        <v>9377.6500000000015</v>
      </c>
      <c r="K79" s="40">
        <v>7626.3956800000005</v>
      </c>
      <c r="L79" s="40">
        <f t="shared" si="16"/>
        <v>472455.21237600007</v>
      </c>
      <c r="N79" s="39"/>
      <c r="O79" s="39"/>
    </row>
    <row r="80" spans="1:15" s="83" customFormat="1" x14ac:dyDescent="0.3">
      <c r="A80" s="72" t="s">
        <v>67</v>
      </c>
      <c r="B80" s="40">
        <f>Base!B77-'Third_Line_MLTS-BATS'!I80</f>
        <v>210</v>
      </c>
      <c r="C80" s="40">
        <f>Base!C77-'Third_Line_MLTS-BATS'!J80</f>
        <v>918.15000000000327</v>
      </c>
      <c r="D80" s="40">
        <f>Base!D77-'Third_Line_MLTS-BATS'!K80</f>
        <v>464.83128000000215</v>
      </c>
      <c r="E80" s="74" t="str">
        <f t="shared" si="17"/>
        <v>Y</v>
      </c>
      <c r="F80" s="52">
        <f t="shared" si="15"/>
        <v>28796.297796000134</v>
      </c>
      <c r="H80" s="72" t="s">
        <v>67</v>
      </c>
      <c r="I80" s="40">
        <v>700.93999999999994</v>
      </c>
      <c r="J80" s="40">
        <v>9815.65</v>
      </c>
      <c r="K80" s="40">
        <v>7935.0788799999991</v>
      </c>
      <c r="L80" s="40">
        <f t="shared" si="16"/>
        <v>491578.13661599997</v>
      </c>
      <c r="N80" s="45"/>
      <c r="O80" s="54"/>
    </row>
    <row r="81" spans="1:15" s="83" customFormat="1" x14ac:dyDescent="0.3">
      <c r="A81" s="72" t="s">
        <v>68</v>
      </c>
      <c r="B81" s="40">
        <f>Base!B78-'Third_Line_MLTS-BATS'!I81</f>
        <v>52.060000000000059</v>
      </c>
      <c r="C81" s="40">
        <f>Base!C78-'Third_Line_MLTS-BATS'!J81</f>
        <v>802.76000000000386</v>
      </c>
      <c r="D81" s="40">
        <f>Base!D78-'Third_Line_MLTS-BATS'!K81</f>
        <v>433.51112000000103</v>
      </c>
      <c r="E81" s="74" t="str">
        <f t="shared" si="17"/>
        <v>Y</v>
      </c>
      <c r="F81" s="52">
        <f t="shared" si="15"/>
        <v>26856.013884000065</v>
      </c>
      <c r="H81" s="72" t="s">
        <v>68</v>
      </c>
      <c r="I81" s="40">
        <v>941.51</v>
      </c>
      <c r="J81" s="40">
        <v>10426.429999999998</v>
      </c>
      <c r="K81" s="40">
        <v>8266.1921599999987</v>
      </c>
      <c r="L81" s="40">
        <f t="shared" si="16"/>
        <v>512090.60431199992</v>
      </c>
      <c r="N81" s="45"/>
      <c r="O81" s="54"/>
    </row>
    <row r="82" spans="1:15" s="83" customFormat="1" x14ac:dyDescent="0.3">
      <c r="A82" s="72" t="s">
        <v>69</v>
      </c>
      <c r="B82" s="40">
        <f>Base!B79-'Third_Line_MLTS-BATS'!I82</f>
        <v>164.80000000000007</v>
      </c>
      <c r="C82" s="40">
        <f>Base!C79-'Third_Line_MLTS-BATS'!J82</f>
        <v>776.59000000000196</v>
      </c>
      <c r="D82" s="40">
        <f>Base!D79-'Third_Line_MLTS-BATS'!K82</f>
        <v>361.48168000000078</v>
      </c>
      <c r="E82" s="74" t="str">
        <f t="shared" si="17"/>
        <v>Y</v>
      </c>
      <c r="F82" s="52">
        <f t="shared" si="15"/>
        <v>22393.790076000048</v>
      </c>
      <c r="H82" s="72" t="s">
        <v>69</v>
      </c>
      <c r="I82" s="40">
        <v>934.92</v>
      </c>
      <c r="J82" s="40">
        <v>10725.479999999998</v>
      </c>
      <c r="K82" s="40">
        <v>8609.1875999999993</v>
      </c>
      <c r="L82" s="40">
        <f t="shared" si="16"/>
        <v>533339.17181999993</v>
      </c>
      <c r="N82" s="39"/>
      <c r="O82" s="39"/>
    </row>
    <row r="83" spans="1:15" s="83" customFormat="1" x14ac:dyDescent="0.3">
      <c r="A83" s="72" t="s">
        <v>70</v>
      </c>
      <c r="B83" s="40">
        <f>Base!B80-'Third_Line_MLTS-BATS'!I83</f>
        <v>120.07999999999993</v>
      </c>
      <c r="C83" s="40">
        <f>Base!C80-'Third_Line_MLTS-BATS'!J83</f>
        <v>1146.0199999999968</v>
      </c>
      <c r="D83" s="40">
        <f>Base!D80-'Third_Line_MLTS-BATS'!K83</f>
        <v>577.6385599999976</v>
      </c>
      <c r="E83" s="74" t="str">
        <f t="shared" si="17"/>
        <v>Y</v>
      </c>
      <c r="F83" s="52">
        <f t="shared" si="15"/>
        <v>35784.708791999852</v>
      </c>
      <c r="H83" s="72" t="s">
        <v>70</v>
      </c>
      <c r="I83" s="40">
        <v>1004.5699999999999</v>
      </c>
      <c r="J83" s="40">
        <v>10952.52</v>
      </c>
      <c r="K83" s="40">
        <v>8643.0876000000007</v>
      </c>
      <c r="L83" s="40">
        <f t="shared" si="16"/>
        <v>535439.27682000003</v>
      </c>
      <c r="N83" s="39"/>
      <c r="O83" s="39"/>
    </row>
    <row r="84" spans="1:15" s="83" customFormat="1" x14ac:dyDescent="0.3">
      <c r="A84" s="72" t="s">
        <v>71</v>
      </c>
      <c r="B84" s="40">
        <f>Base!B81-'Third_Line_MLTS-BATS'!I84</f>
        <v>216.27000000000021</v>
      </c>
      <c r="C84" s="40">
        <f>Base!C81-'Third_Line_MLTS-BATS'!J84</f>
        <v>1216.1400000000031</v>
      </c>
      <c r="D84" s="40">
        <f>Base!D81-'Third_Line_MLTS-BATS'!K84</f>
        <v>611.92848000000231</v>
      </c>
      <c r="E84" s="74" t="str">
        <f t="shared" si="17"/>
        <v>Y</v>
      </c>
      <c r="F84" s="52">
        <f t="shared" si="15"/>
        <v>37908.969336000147</v>
      </c>
      <c r="H84" s="72" t="s">
        <v>71</v>
      </c>
      <c r="I84" s="40">
        <v>1086.7099999999998</v>
      </c>
      <c r="J84" s="40">
        <v>11505.93</v>
      </c>
      <c r="K84" s="40">
        <v>8880.3952799999988</v>
      </c>
      <c r="L84" s="40">
        <f t="shared" si="16"/>
        <v>550140.48759599996</v>
      </c>
      <c r="N84" s="39"/>
      <c r="O84" s="39"/>
    </row>
    <row r="85" spans="1:15" s="83" customFormat="1" x14ac:dyDescent="0.3">
      <c r="A85" s="72" t="s">
        <v>72</v>
      </c>
      <c r="B85" s="40">
        <f>Base!B82-'Third_Line_MLTS-BATS'!I85</f>
        <v>104.39000000000033</v>
      </c>
      <c r="C85" s="40">
        <f>Base!C82-'Third_Line_MLTS-BATS'!J85</f>
        <v>1107.869999999999</v>
      </c>
      <c r="D85" s="40">
        <f>Base!D82-'Third_Line_MLTS-BATS'!K85</f>
        <v>550.631519999999</v>
      </c>
      <c r="E85" s="74" t="str">
        <f t="shared" si="17"/>
        <v>Y</v>
      </c>
      <c r="F85" s="52">
        <f t="shared" si="15"/>
        <v>34111.622663999937</v>
      </c>
      <c r="H85" s="72" t="s">
        <v>72</v>
      </c>
      <c r="I85" s="40">
        <v>1106.08</v>
      </c>
      <c r="J85" s="40">
        <v>12209.76</v>
      </c>
      <c r="K85" s="40">
        <v>9245.3428800000002</v>
      </c>
      <c r="L85" s="40">
        <f t="shared" si="16"/>
        <v>572748.99141600006</v>
      </c>
    </row>
    <row r="86" spans="1:15" s="83" customFormat="1" x14ac:dyDescent="0.3">
      <c r="A86" s="72" t="s">
        <v>73</v>
      </c>
      <c r="B86" s="40">
        <f>Base!B83-'Third_Line_MLTS-BATS'!I86</f>
        <v>142.58999999999992</v>
      </c>
      <c r="C86" s="40">
        <f>Base!C83-'Third_Line_MLTS-BATS'!J86</f>
        <v>1295.7499999999982</v>
      </c>
      <c r="D86" s="40">
        <f>Base!D83-'Third_Line_MLTS-BATS'!K86</f>
        <v>675.66272000000026</v>
      </c>
      <c r="E86" s="74" t="str">
        <f t="shared" si="17"/>
        <v>Y</v>
      </c>
      <c r="F86" s="52">
        <f t="shared" si="15"/>
        <v>41857.305504000018</v>
      </c>
      <c r="H86" s="72" t="s">
        <v>73</v>
      </c>
      <c r="I86" s="40">
        <v>1261.1299999999999</v>
      </c>
      <c r="J86" s="40">
        <v>13644.56</v>
      </c>
      <c r="K86" s="40">
        <v>9827.0487199999989</v>
      </c>
      <c r="L86" s="40">
        <f t="shared" si="16"/>
        <v>608785.66820399999</v>
      </c>
    </row>
    <row r="87" spans="1:15" s="83" customFormat="1" ht="15" thickBot="1" x14ac:dyDescent="0.35">
      <c r="E87" s="60">
        <f>COUNTIF(E77:E86,"Y")</f>
        <v>10</v>
      </c>
      <c r="F87" s="62">
        <f>-PV($G$6,$G$7-7,F86)</f>
        <v>400550.65366119286</v>
      </c>
      <c r="G87" s="55" t="s">
        <v>11</v>
      </c>
    </row>
    <row r="88" spans="1:15" s="83" customFormat="1" ht="15" thickTop="1" x14ac:dyDescent="0.3"/>
    <row r="89" spans="1:15" s="83" customFormat="1" ht="15.6" x14ac:dyDescent="0.3">
      <c r="A89" s="409" t="s">
        <v>53</v>
      </c>
      <c r="B89" s="410"/>
      <c r="C89" s="410"/>
      <c r="D89" s="410"/>
      <c r="E89" s="410"/>
      <c r="F89" s="411"/>
      <c r="H89" s="406" t="s">
        <v>63</v>
      </c>
      <c r="I89" s="406"/>
      <c r="J89" s="406"/>
      <c r="K89" s="406"/>
      <c r="L89" s="406"/>
    </row>
    <row r="90" spans="1:15" s="83" customFormat="1" ht="43.2" x14ac:dyDescent="0.3">
      <c r="A90" s="94" t="s">
        <v>5</v>
      </c>
      <c r="B90" s="51" t="s">
        <v>151</v>
      </c>
      <c r="C90" s="51" t="s">
        <v>152</v>
      </c>
      <c r="D90" s="51" t="s">
        <v>153</v>
      </c>
      <c r="E90" s="51" t="s">
        <v>12</v>
      </c>
      <c r="F90" s="51" t="s">
        <v>58</v>
      </c>
      <c r="H90" s="94" t="s">
        <v>5</v>
      </c>
      <c r="I90" s="51" t="s">
        <v>75</v>
      </c>
      <c r="J90" s="51" t="s">
        <v>51</v>
      </c>
      <c r="K90" s="50" t="s">
        <v>0</v>
      </c>
      <c r="L90" s="51" t="s">
        <v>58</v>
      </c>
    </row>
    <row r="91" spans="1:15" s="83" customFormat="1" x14ac:dyDescent="0.3">
      <c r="A91" s="72" t="s">
        <v>64</v>
      </c>
      <c r="B91" s="40">
        <f>Base!B88-'Third_Line_MLTS-BATS'!I91</f>
        <v>207.90000000000009</v>
      </c>
      <c r="C91" s="40">
        <f>Base!C88-'Third_Line_MLTS-BATS'!J91</f>
        <v>1121.8900000000031</v>
      </c>
      <c r="D91" s="40">
        <f>Base!D88-'Third_Line_MLTS-BATS'!K91</f>
        <v>648.72135999999955</v>
      </c>
      <c r="E91" s="74" t="str">
        <f>E35</f>
        <v>Y</v>
      </c>
      <c r="F91" s="52">
        <f t="shared" ref="F91:F100" si="18">IF(E91="Y",D91*$G$5,-D91*$G$5)</f>
        <v>40188.288251999977</v>
      </c>
      <c r="H91" s="72" t="s">
        <v>64</v>
      </c>
      <c r="I91" s="40">
        <v>590.27</v>
      </c>
      <c r="J91" s="40">
        <v>8988.5499999999993</v>
      </c>
      <c r="K91" s="40">
        <v>7330.6779999999999</v>
      </c>
      <c r="L91" s="40">
        <f t="shared" ref="L91:L100" si="19">K91*$G$5</f>
        <v>454135.50210000004</v>
      </c>
    </row>
    <row r="92" spans="1:15" s="83" customFormat="1" x14ac:dyDescent="0.3">
      <c r="A92" s="72" t="s">
        <v>65</v>
      </c>
      <c r="B92" s="40">
        <f>Base!B89-'Third_Line_MLTS-BATS'!I92</f>
        <v>125.18000000000006</v>
      </c>
      <c r="C92" s="40">
        <f>Base!C89-'Third_Line_MLTS-BATS'!J92</f>
        <v>478.66000000000167</v>
      </c>
      <c r="D92" s="40">
        <f>Base!D89-'Third_Line_MLTS-BATS'!K92</f>
        <v>238.79752000000008</v>
      </c>
      <c r="E92" s="74" t="str">
        <f t="shared" ref="E92:E100" si="20">E36</f>
        <v>Y</v>
      </c>
      <c r="F92" s="52">
        <f t="shared" si="18"/>
        <v>14793.506364000006</v>
      </c>
      <c r="H92" s="72" t="s">
        <v>65</v>
      </c>
      <c r="I92" s="40">
        <v>638.77</v>
      </c>
      <c r="J92" s="40">
        <v>9238.31</v>
      </c>
      <c r="K92" s="40">
        <v>7433.6933599999993</v>
      </c>
      <c r="L92" s="40">
        <f t="shared" si="19"/>
        <v>460517.30365199997</v>
      </c>
    </row>
    <row r="93" spans="1:15" s="83" customFormat="1" x14ac:dyDescent="0.3">
      <c r="A93" s="72" t="s">
        <v>66</v>
      </c>
      <c r="B93" s="40">
        <f>Base!B90-'Third_Line_MLTS-BATS'!I93</f>
        <v>54.340000000000032</v>
      </c>
      <c r="C93" s="40">
        <f>Base!C90-'Third_Line_MLTS-BATS'!J93</f>
        <v>230.84000000000378</v>
      </c>
      <c r="D93" s="40">
        <f>Base!D90-'Third_Line_MLTS-BATS'!K93</f>
        <v>242.88776000000144</v>
      </c>
      <c r="E93" s="74" t="str">
        <f t="shared" si="20"/>
        <v>Y</v>
      </c>
      <c r="F93" s="52">
        <f t="shared" si="18"/>
        <v>15046.89673200009</v>
      </c>
      <c r="H93" s="72" t="s">
        <v>66</v>
      </c>
      <c r="I93" s="40">
        <v>700.85</v>
      </c>
      <c r="J93" s="40">
        <v>9586.3999999999978</v>
      </c>
      <c r="K93" s="40">
        <v>7636.8691999999992</v>
      </c>
      <c r="L93" s="40">
        <f t="shared" si="19"/>
        <v>473104.04693999997</v>
      </c>
    </row>
    <row r="94" spans="1:15" s="83" customFormat="1" x14ac:dyDescent="0.3">
      <c r="A94" s="72" t="s">
        <v>67</v>
      </c>
      <c r="B94" s="40">
        <f>Base!B91-'Third_Line_MLTS-BATS'!I94</f>
        <v>73.8900000000001</v>
      </c>
      <c r="C94" s="40">
        <f>Base!C91-'Third_Line_MLTS-BATS'!J94</f>
        <v>375.36000000000058</v>
      </c>
      <c r="D94" s="40">
        <f>Base!D91-'Third_Line_MLTS-BATS'!K94</f>
        <v>361.41215999999986</v>
      </c>
      <c r="E94" s="74" t="str">
        <f t="shared" si="20"/>
        <v>Y</v>
      </c>
      <c r="F94" s="52">
        <f t="shared" si="18"/>
        <v>22389.483311999993</v>
      </c>
      <c r="H94" s="72" t="s">
        <v>67</v>
      </c>
      <c r="I94" s="40">
        <v>726.76999999999987</v>
      </c>
      <c r="J94" s="40">
        <v>9575.84</v>
      </c>
      <c r="K94" s="40">
        <v>7550.77232</v>
      </c>
      <c r="L94" s="40">
        <f t="shared" si="19"/>
        <v>467770.34522400005</v>
      </c>
    </row>
    <row r="95" spans="1:15" s="83" customFormat="1" x14ac:dyDescent="0.3">
      <c r="A95" s="72" t="s">
        <v>68</v>
      </c>
      <c r="B95" s="40">
        <f>Base!B92-'Third_Line_MLTS-BATS'!I95</f>
        <v>77.939999999999941</v>
      </c>
      <c r="C95" s="40">
        <f>Base!C92-'Third_Line_MLTS-BATS'!J95</f>
        <v>345.6299999999992</v>
      </c>
      <c r="D95" s="40">
        <f>Base!D92-'Third_Line_MLTS-BATS'!K95</f>
        <v>375.32135999999991</v>
      </c>
      <c r="E95" s="74" t="str">
        <f t="shared" si="20"/>
        <v>Y</v>
      </c>
      <c r="F95" s="52">
        <f t="shared" si="18"/>
        <v>23251.158251999997</v>
      </c>
      <c r="H95" s="72" t="s">
        <v>68</v>
      </c>
      <c r="I95" s="40">
        <v>812.89</v>
      </c>
      <c r="J95" s="40">
        <v>9961.9400000000023</v>
      </c>
      <c r="K95" s="40">
        <v>7727.2649600000004</v>
      </c>
      <c r="L95" s="40">
        <f t="shared" si="19"/>
        <v>478704.06427200005</v>
      </c>
    </row>
    <row r="96" spans="1:15" s="83" customFormat="1" x14ac:dyDescent="0.3">
      <c r="A96" s="72" t="s">
        <v>69</v>
      </c>
      <c r="B96" s="40">
        <f>Base!B93-'Third_Line_MLTS-BATS'!I96</f>
        <v>128.41000000000008</v>
      </c>
      <c r="C96" s="40">
        <f>Base!C93-'Third_Line_MLTS-BATS'!J96</f>
        <v>490.64999999999782</v>
      </c>
      <c r="D96" s="40">
        <f>Base!D93-'Third_Line_MLTS-BATS'!K96</f>
        <v>480.21695999999974</v>
      </c>
      <c r="E96" s="74" t="str">
        <f t="shared" si="20"/>
        <v>Y</v>
      </c>
      <c r="F96" s="52">
        <f t="shared" si="18"/>
        <v>29749.440671999986</v>
      </c>
      <c r="H96" s="72" t="s">
        <v>69</v>
      </c>
      <c r="I96" s="40">
        <v>864.99</v>
      </c>
      <c r="J96" s="40">
        <v>10454.150000000001</v>
      </c>
      <c r="K96" s="40">
        <v>7849.6692800000001</v>
      </c>
      <c r="L96" s="40">
        <f t="shared" si="19"/>
        <v>486287.01189600001</v>
      </c>
    </row>
    <row r="97" spans="1:12" s="83" customFormat="1" x14ac:dyDescent="0.3">
      <c r="A97" s="72" t="s">
        <v>70</v>
      </c>
      <c r="B97" s="40">
        <f>Base!B94-'Third_Line_MLTS-BATS'!I97</f>
        <v>111.81000000000017</v>
      </c>
      <c r="C97" s="40">
        <f>Base!C94-'Third_Line_MLTS-BATS'!J97</f>
        <v>530.36999999999716</v>
      </c>
      <c r="D97" s="40">
        <f>Base!D94-'Third_Line_MLTS-BATS'!K97</f>
        <v>538.87512000000061</v>
      </c>
      <c r="E97" s="74" t="str">
        <f t="shared" si="20"/>
        <v>Y</v>
      </c>
      <c r="F97" s="52">
        <f t="shared" si="18"/>
        <v>33383.313684000037</v>
      </c>
      <c r="H97" s="72" t="s">
        <v>70</v>
      </c>
      <c r="I97" s="40">
        <v>961.06999999999994</v>
      </c>
      <c r="J97" s="40">
        <v>11750.810000000001</v>
      </c>
      <c r="K97" s="40">
        <v>8463.7899199999993</v>
      </c>
      <c r="L97" s="40">
        <f t="shared" si="19"/>
        <v>524331.78554399998</v>
      </c>
    </row>
    <row r="98" spans="1:12" s="83" customFormat="1" x14ac:dyDescent="0.3">
      <c r="A98" s="72" t="s">
        <v>71</v>
      </c>
      <c r="B98" s="40">
        <f>Base!B95-'Third_Line_MLTS-BATS'!I98</f>
        <v>108.95000000000027</v>
      </c>
      <c r="C98" s="40">
        <f>Base!C95-'Third_Line_MLTS-BATS'!J98</f>
        <v>527.52999999999884</v>
      </c>
      <c r="D98" s="40">
        <f>Base!D95-'Third_Line_MLTS-BATS'!K98</f>
        <v>542.70975999999973</v>
      </c>
      <c r="E98" s="74" t="str">
        <f t="shared" si="20"/>
        <v>Y</v>
      </c>
      <c r="F98" s="52">
        <f t="shared" si="18"/>
        <v>33620.869631999987</v>
      </c>
      <c r="H98" s="72" t="s">
        <v>71</v>
      </c>
      <c r="I98" s="40">
        <v>1009.48</v>
      </c>
      <c r="J98" s="40">
        <v>13122.75</v>
      </c>
      <c r="K98" s="40">
        <v>8974.7431199999992</v>
      </c>
      <c r="L98" s="40">
        <f t="shared" si="19"/>
        <v>555985.33628399996</v>
      </c>
    </row>
    <row r="99" spans="1:12" s="83" customFormat="1" x14ac:dyDescent="0.3">
      <c r="A99" s="72" t="s">
        <v>72</v>
      </c>
      <c r="B99" s="40">
        <f>Base!B96-'Third_Line_MLTS-BATS'!I99</f>
        <v>89.28999999999985</v>
      </c>
      <c r="C99" s="40">
        <f>Base!C96-'Third_Line_MLTS-BATS'!J99</f>
        <v>481.03000000000065</v>
      </c>
      <c r="D99" s="40">
        <f>Base!D96-'Third_Line_MLTS-BATS'!K99</f>
        <v>496.56471999999849</v>
      </c>
      <c r="E99" s="74" t="str">
        <f t="shared" si="20"/>
        <v>Y</v>
      </c>
      <c r="F99" s="52">
        <f t="shared" si="18"/>
        <v>30762.184403999909</v>
      </c>
      <c r="H99" s="72" t="s">
        <v>72</v>
      </c>
      <c r="I99" s="40">
        <v>982.4</v>
      </c>
      <c r="J99" s="40">
        <v>14357.19</v>
      </c>
      <c r="K99" s="40">
        <v>9265.0521599999993</v>
      </c>
      <c r="L99" s="40">
        <f t="shared" si="19"/>
        <v>573969.98131199996</v>
      </c>
    </row>
    <row r="100" spans="1:12" s="83" customFormat="1" x14ac:dyDescent="0.3">
      <c r="A100" s="72" t="s">
        <v>73</v>
      </c>
      <c r="B100" s="40">
        <f>Base!B97-'Third_Line_MLTS-BATS'!I100</f>
        <v>94.339999999999691</v>
      </c>
      <c r="C100" s="40">
        <f>Base!C97-'Third_Line_MLTS-BATS'!J100</f>
        <v>326.43000000000029</v>
      </c>
      <c r="D100" s="40">
        <f>Base!D97-'Third_Line_MLTS-BATS'!K100</f>
        <v>435.40968000000066</v>
      </c>
      <c r="E100" s="74" t="str">
        <f t="shared" si="20"/>
        <v>Y</v>
      </c>
      <c r="F100" s="52">
        <f t="shared" si="18"/>
        <v>26973.62967600004</v>
      </c>
      <c r="H100" s="72" t="s">
        <v>73</v>
      </c>
      <c r="I100" s="40">
        <v>1088.3800000000001</v>
      </c>
      <c r="J100" s="40">
        <v>16883.46</v>
      </c>
      <c r="K100" s="40">
        <v>10262.627759999999</v>
      </c>
      <c r="L100" s="40">
        <f t="shared" si="19"/>
        <v>635769.78973199998</v>
      </c>
    </row>
    <row r="101" spans="1:12" s="83" customFormat="1" ht="15" thickBot="1" x14ac:dyDescent="0.35">
      <c r="E101" s="60">
        <f>COUNTIF(E91:E100,"Y")</f>
        <v>10</v>
      </c>
      <c r="F101" s="62">
        <f>-PV($G$6,$G$7-7,F100)</f>
        <v>258122.32460362915</v>
      </c>
      <c r="G101" s="55" t="s">
        <v>11</v>
      </c>
    </row>
    <row r="102" spans="1:12" ht="15" thickTop="1" x14ac:dyDescent="0.3"/>
  </sheetData>
  <mergeCells count="12">
    <mergeCell ref="A15:I15"/>
    <mergeCell ref="M15:Q15"/>
    <mergeCell ref="A33:F33"/>
    <mergeCell ref="H33:L33"/>
    <mergeCell ref="A47:F47"/>
    <mergeCell ref="H47:L47"/>
    <mergeCell ref="A61:F61"/>
    <mergeCell ref="H61:L61"/>
    <mergeCell ref="A75:F75"/>
    <mergeCell ref="H75:L75"/>
    <mergeCell ref="A89:F89"/>
    <mergeCell ref="H89:L89"/>
  </mergeCells>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02"/>
  <sheetViews>
    <sheetView zoomScale="70" zoomScaleNormal="70" workbookViewId="0">
      <selection activeCell="B90" sqref="B90"/>
    </sheetView>
  </sheetViews>
  <sheetFormatPr defaultRowHeight="14.4" x14ac:dyDescent="0.3"/>
  <cols>
    <col min="1" max="1" width="38.77734375" style="93" customWidth="1"/>
    <col min="2" max="12" width="15.77734375" style="93" customWidth="1"/>
    <col min="13" max="17" width="10.77734375" style="93" customWidth="1"/>
    <col min="18" max="16384" width="8.88671875" style="93"/>
  </cols>
  <sheetData>
    <row r="2" spans="1:18" x14ac:dyDescent="0.3">
      <c r="A2" s="99" t="s">
        <v>130</v>
      </c>
    </row>
    <row r="3" spans="1:18" x14ac:dyDescent="0.3">
      <c r="A3" s="99"/>
    </row>
    <row r="5" spans="1:18" x14ac:dyDescent="0.3">
      <c r="A5" s="68" t="s">
        <v>31</v>
      </c>
      <c r="B5" s="69" t="s">
        <v>33</v>
      </c>
      <c r="C5" s="69" t="s">
        <v>34</v>
      </c>
      <c r="D5" s="69" t="s">
        <v>35</v>
      </c>
      <c r="F5" s="65" t="s">
        <v>3</v>
      </c>
      <c r="G5" s="100">
        <v>61.95</v>
      </c>
    </row>
    <row r="6" spans="1:18" x14ac:dyDescent="0.3">
      <c r="A6" s="105" t="s">
        <v>4</v>
      </c>
      <c r="B6" s="106">
        <v>0.6</v>
      </c>
      <c r="C6" s="111"/>
      <c r="D6" s="111"/>
      <c r="F6" s="66" t="s">
        <v>2</v>
      </c>
      <c r="G6" s="101">
        <v>0.1</v>
      </c>
    </row>
    <row r="7" spans="1:18" x14ac:dyDescent="0.3">
      <c r="A7" s="105" t="s">
        <v>36</v>
      </c>
      <c r="B7" s="107">
        <v>0.02</v>
      </c>
      <c r="C7" s="31"/>
      <c r="D7" s="31"/>
      <c r="F7" s="66" t="s">
        <v>1</v>
      </c>
      <c r="G7" s="102">
        <v>40</v>
      </c>
    </row>
    <row r="8" spans="1:18" x14ac:dyDescent="0.3">
      <c r="A8" s="105" t="s">
        <v>30</v>
      </c>
      <c r="B8" s="108">
        <f>-PV($G$6,$G$7,B6*B7)</f>
        <v>0.1173486086217384</v>
      </c>
      <c r="C8" s="32">
        <f>-PV($G$6,$G$7,C6*C7)</f>
        <v>0</v>
      </c>
      <c r="D8" s="32">
        <f>-PV($G$6,$G$7,D6*D7)</f>
        <v>0</v>
      </c>
      <c r="F8" s="66" t="s">
        <v>6</v>
      </c>
      <c r="G8" s="101">
        <v>0.2</v>
      </c>
    </row>
    <row r="9" spans="1:18" x14ac:dyDescent="0.3">
      <c r="A9" s="105" t="s">
        <v>32</v>
      </c>
      <c r="B9" s="108">
        <f>B6+B8</f>
        <v>0.71734860862173844</v>
      </c>
      <c r="C9" s="32">
        <f>C6+C8</f>
        <v>0</v>
      </c>
      <c r="D9" s="32">
        <f>D6+D8</f>
        <v>0</v>
      </c>
      <c r="F9" s="66" t="s">
        <v>7</v>
      </c>
      <c r="G9" s="101">
        <v>0.2</v>
      </c>
    </row>
    <row r="10" spans="1:18" x14ac:dyDescent="0.3">
      <c r="A10" s="105" t="s">
        <v>15</v>
      </c>
      <c r="B10" s="108">
        <f>-PMT($G$6,$G$7,B9)</f>
        <v>7.3355648648621694E-2</v>
      </c>
      <c r="C10" s="32">
        <f>-PMT($G$6,$G$7,C9)</f>
        <v>0</v>
      </c>
      <c r="D10" s="32">
        <f>-PMT($G$6,$G$7,D9)</f>
        <v>0</v>
      </c>
      <c r="F10" s="66" t="s">
        <v>8</v>
      </c>
      <c r="G10" s="101">
        <v>0.2</v>
      </c>
    </row>
    <row r="11" spans="1:18" x14ac:dyDescent="0.3">
      <c r="B11" s="104"/>
      <c r="C11" s="104"/>
      <c r="D11" s="104"/>
      <c r="F11" s="66" t="s">
        <v>9</v>
      </c>
      <c r="G11" s="101">
        <v>0.2</v>
      </c>
    </row>
    <row r="12" spans="1:18" x14ac:dyDescent="0.3">
      <c r="A12" s="97" t="s">
        <v>28</v>
      </c>
      <c r="B12" s="109">
        <f>SUM(B9:D9)</f>
        <v>0.71734860862173844</v>
      </c>
      <c r="C12" s="104"/>
      <c r="D12" s="104"/>
      <c r="F12" s="67" t="s">
        <v>10</v>
      </c>
      <c r="G12" s="103">
        <v>0.2</v>
      </c>
    </row>
    <row r="13" spans="1:18" x14ac:dyDescent="0.3">
      <c r="A13" s="98" t="s">
        <v>29</v>
      </c>
      <c r="B13" s="110">
        <f>-PMT($G$6,$G$7,B12)</f>
        <v>7.3355648648621694E-2</v>
      </c>
      <c r="C13" s="104"/>
      <c r="D13" s="104"/>
    </row>
    <row r="15" spans="1:18" ht="15.6" x14ac:dyDescent="0.3">
      <c r="A15" s="397" t="s">
        <v>57</v>
      </c>
      <c r="B15" s="397"/>
      <c r="C15" s="397"/>
      <c r="D15" s="397"/>
      <c r="E15" s="397"/>
      <c r="F15" s="397"/>
      <c r="G15" s="397"/>
      <c r="H15" s="397"/>
      <c r="I15" s="397"/>
      <c r="M15" s="407"/>
      <c r="N15" s="407"/>
      <c r="O15" s="407"/>
      <c r="P15" s="407"/>
      <c r="Q15" s="407"/>
      <c r="R15" s="112"/>
    </row>
    <row r="16" spans="1:18" s="104" customFormat="1" ht="57.6" x14ac:dyDescent="0.3">
      <c r="A16" s="94" t="s">
        <v>5</v>
      </c>
      <c r="B16" s="51" t="s">
        <v>151</v>
      </c>
      <c r="C16" s="51" t="s">
        <v>152</v>
      </c>
      <c r="D16" s="51" t="s">
        <v>153</v>
      </c>
      <c r="E16" s="50" t="s">
        <v>25</v>
      </c>
      <c r="F16" s="50" t="s">
        <v>15</v>
      </c>
      <c r="G16" s="50" t="s">
        <v>26</v>
      </c>
      <c r="H16" s="50" t="s">
        <v>12</v>
      </c>
      <c r="I16" s="50" t="s">
        <v>24</v>
      </c>
      <c r="J16" s="35"/>
      <c r="K16" s="35"/>
      <c r="M16" s="36"/>
      <c r="N16" s="37"/>
      <c r="O16" s="37"/>
      <c r="P16" s="37"/>
      <c r="Q16" s="38"/>
      <c r="R16" s="39"/>
    </row>
    <row r="17" spans="1:18" s="104" customFormat="1" x14ac:dyDescent="0.3">
      <c r="A17" s="72" t="s">
        <v>64</v>
      </c>
      <c r="B17" s="40">
        <f>MAX(B35,B49,B63,B77,B91)</f>
        <v>35.340000000000032</v>
      </c>
      <c r="C17" s="40">
        <f>MAX(C35,C49,C63,C77,C91)</f>
        <v>74.409999999999854</v>
      </c>
      <c r="D17" s="40">
        <f t="shared" ref="D17:D26" si="0">$G$8*D35+$G$9*D49+$G$10*D63+$G$11*D77+$G$12*D91</f>
        <v>32.337471999999977</v>
      </c>
      <c r="E17" s="41">
        <f t="shared" ref="E17:E26" si="1">D17*$G$5/1000</f>
        <v>2.0033063903999988</v>
      </c>
      <c r="F17" s="41">
        <f t="shared" ref="F17:F26" si="2">$B$13</f>
        <v>7.3355648648621694E-2</v>
      </c>
      <c r="G17" s="41">
        <f>E17-F17</f>
        <v>1.929950741751377</v>
      </c>
      <c r="H17" s="42" t="s">
        <v>13</v>
      </c>
      <c r="I17" s="41">
        <f>IF(OR(H17="Y",H17="Y1",H17="Y2"),E17,-Q17)</f>
        <v>2.0033063903999988</v>
      </c>
      <c r="J17" s="43"/>
      <c r="K17" s="43"/>
      <c r="M17" s="44"/>
      <c r="N17" s="45"/>
      <c r="O17" s="45"/>
      <c r="P17" s="45"/>
      <c r="Q17" s="33"/>
      <c r="R17" s="39"/>
    </row>
    <row r="18" spans="1:18" s="104" customFormat="1" x14ac:dyDescent="0.3">
      <c r="A18" s="72" t="s">
        <v>65</v>
      </c>
      <c r="B18" s="40">
        <f t="shared" ref="B18:C26" si="3">MAX(B36,B50,B64,B78,B92)</f>
        <v>30.069999999999936</v>
      </c>
      <c r="C18" s="40">
        <f t="shared" si="3"/>
        <v>83.600000000000364</v>
      </c>
      <c r="D18" s="40">
        <f t="shared" si="0"/>
        <v>60.50190400000028</v>
      </c>
      <c r="E18" s="41">
        <f t="shared" si="1"/>
        <v>3.7480929528000173</v>
      </c>
      <c r="F18" s="41">
        <f t="shared" si="2"/>
        <v>7.3355648648621694E-2</v>
      </c>
      <c r="G18" s="41">
        <f t="shared" ref="G18:G26" si="4">E18-F18</f>
        <v>3.6747373041513955</v>
      </c>
      <c r="H18" s="42" t="s">
        <v>13</v>
      </c>
      <c r="I18" s="41">
        <f t="shared" ref="I18:I26" si="5">IF(OR(H18="Y",H18="Y1",H18="Y2"),E18,-Q18)</f>
        <v>3.7480929528000173</v>
      </c>
      <c r="J18" s="43"/>
      <c r="K18" s="43"/>
      <c r="M18" s="44"/>
      <c r="N18" s="45"/>
      <c r="O18" s="45"/>
      <c r="P18" s="45"/>
      <c r="Q18" s="33"/>
      <c r="R18" s="39"/>
    </row>
    <row r="19" spans="1:18" s="104" customFormat="1" x14ac:dyDescent="0.3">
      <c r="A19" s="72" t="s">
        <v>66</v>
      </c>
      <c r="B19" s="40">
        <f t="shared" si="3"/>
        <v>43.5</v>
      </c>
      <c r="C19" s="40">
        <f t="shared" si="3"/>
        <v>235.40999999999985</v>
      </c>
      <c r="D19" s="40">
        <f t="shared" si="0"/>
        <v>107.95287999999982</v>
      </c>
      <c r="E19" s="41">
        <f t="shared" si="1"/>
        <v>6.687680915999989</v>
      </c>
      <c r="F19" s="41">
        <f t="shared" si="2"/>
        <v>7.3355648648621694E-2</v>
      </c>
      <c r="G19" s="41">
        <f t="shared" si="4"/>
        <v>6.6143252673513677</v>
      </c>
      <c r="H19" s="42" t="s">
        <v>13</v>
      </c>
      <c r="I19" s="41">
        <f t="shared" si="5"/>
        <v>6.687680915999989</v>
      </c>
      <c r="J19" s="43"/>
      <c r="K19" s="43"/>
      <c r="M19" s="44"/>
      <c r="N19" s="45"/>
      <c r="O19" s="45"/>
      <c r="P19" s="45"/>
      <c r="Q19" s="33"/>
      <c r="R19" s="39"/>
    </row>
    <row r="20" spans="1:18" s="104" customFormat="1" x14ac:dyDescent="0.3">
      <c r="A20" s="72" t="s">
        <v>67</v>
      </c>
      <c r="B20" s="40">
        <f t="shared" si="3"/>
        <v>40.400000000000091</v>
      </c>
      <c r="C20" s="40">
        <f t="shared" si="3"/>
        <v>276.59000000000015</v>
      </c>
      <c r="D20" s="40">
        <f t="shared" si="0"/>
        <v>156.99766400000044</v>
      </c>
      <c r="E20" s="41">
        <f t="shared" si="1"/>
        <v>9.726005284800026</v>
      </c>
      <c r="F20" s="41">
        <f t="shared" si="2"/>
        <v>7.3355648648621694E-2</v>
      </c>
      <c r="G20" s="41">
        <f t="shared" si="4"/>
        <v>9.6526496361514038</v>
      </c>
      <c r="H20" s="42" t="s">
        <v>13</v>
      </c>
      <c r="I20" s="41">
        <f t="shared" si="5"/>
        <v>9.726005284800026</v>
      </c>
      <c r="J20" s="43"/>
      <c r="K20" s="43"/>
      <c r="M20" s="44"/>
      <c r="N20" s="45"/>
      <c r="O20" s="45"/>
      <c r="P20" s="45"/>
      <c r="Q20" s="33"/>
      <c r="R20" s="39"/>
    </row>
    <row r="21" spans="1:18" s="104" customFormat="1" x14ac:dyDescent="0.3">
      <c r="A21" s="72" t="s">
        <v>68</v>
      </c>
      <c r="B21" s="40">
        <f t="shared" si="3"/>
        <v>47.239999999999895</v>
      </c>
      <c r="C21" s="40">
        <f t="shared" si="3"/>
        <v>268.98999999999978</v>
      </c>
      <c r="D21" s="40">
        <f t="shared" si="0"/>
        <v>182.72030399999932</v>
      </c>
      <c r="E21" s="41">
        <f t="shared" si="1"/>
        <v>11.319522832799958</v>
      </c>
      <c r="F21" s="41">
        <f t="shared" si="2"/>
        <v>7.3355648648621694E-2</v>
      </c>
      <c r="G21" s="41">
        <f t="shared" si="4"/>
        <v>11.246167184151336</v>
      </c>
      <c r="H21" s="42" t="s">
        <v>13</v>
      </c>
      <c r="I21" s="41">
        <f t="shared" si="5"/>
        <v>11.319522832799958</v>
      </c>
      <c r="J21" s="43"/>
      <c r="K21" s="43"/>
      <c r="M21" s="44"/>
      <c r="N21" s="45"/>
      <c r="O21" s="45"/>
      <c r="P21" s="45"/>
      <c r="Q21" s="33"/>
      <c r="R21" s="39"/>
    </row>
    <row r="22" spans="1:18" s="104" customFormat="1" x14ac:dyDescent="0.3">
      <c r="A22" s="72" t="s">
        <v>69</v>
      </c>
      <c r="B22" s="40">
        <f t="shared" si="3"/>
        <v>40.6400000000001</v>
      </c>
      <c r="C22" s="40">
        <f t="shared" si="3"/>
        <v>289.88999999999942</v>
      </c>
      <c r="D22" s="40">
        <f t="shared" si="0"/>
        <v>236.69271999999967</v>
      </c>
      <c r="E22" s="41">
        <f t="shared" si="1"/>
        <v>14.663114003999981</v>
      </c>
      <c r="F22" s="41">
        <f t="shared" si="2"/>
        <v>7.3355648648621694E-2</v>
      </c>
      <c r="G22" s="41">
        <f t="shared" si="4"/>
        <v>14.589758355351359</v>
      </c>
      <c r="H22" s="42" t="s">
        <v>13</v>
      </c>
      <c r="I22" s="41">
        <f t="shared" si="5"/>
        <v>14.663114003999981</v>
      </c>
      <c r="J22" s="43"/>
      <c r="K22" s="43"/>
      <c r="M22" s="44"/>
      <c r="N22" s="45"/>
      <c r="O22" s="45"/>
      <c r="P22" s="45"/>
      <c r="Q22" s="33"/>
      <c r="R22" s="39"/>
    </row>
    <row r="23" spans="1:18" s="104" customFormat="1" x14ac:dyDescent="0.3">
      <c r="A23" s="72" t="s">
        <v>70</v>
      </c>
      <c r="B23" s="40">
        <f t="shared" si="3"/>
        <v>46.0300000000002</v>
      </c>
      <c r="C23" s="40">
        <f t="shared" si="3"/>
        <v>367.84999999999854</v>
      </c>
      <c r="D23" s="40">
        <f t="shared" si="0"/>
        <v>202.22145600000005</v>
      </c>
      <c r="E23" s="41">
        <f t="shared" si="1"/>
        <v>12.527619199200004</v>
      </c>
      <c r="F23" s="41">
        <f t="shared" si="2"/>
        <v>7.3355648648621694E-2</v>
      </c>
      <c r="G23" s="41">
        <f t="shared" si="4"/>
        <v>12.454263550551381</v>
      </c>
      <c r="H23" s="46" t="s">
        <v>13</v>
      </c>
      <c r="I23" s="41">
        <f t="shared" si="5"/>
        <v>12.527619199200004</v>
      </c>
      <c r="J23" s="43"/>
      <c r="K23" s="43"/>
      <c r="M23" s="44"/>
      <c r="N23" s="45"/>
      <c r="O23" s="45"/>
      <c r="P23" s="45"/>
      <c r="Q23" s="33"/>
      <c r="R23" s="39"/>
    </row>
    <row r="24" spans="1:18" s="104" customFormat="1" x14ac:dyDescent="0.3">
      <c r="A24" s="72" t="s">
        <v>71</v>
      </c>
      <c r="B24" s="40">
        <f t="shared" si="3"/>
        <v>50.390000000000327</v>
      </c>
      <c r="C24" s="40">
        <f t="shared" si="3"/>
        <v>429.75</v>
      </c>
      <c r="D24" s="40">
        <f t="shared" si="0"/>
        <v>225.83147200000059</v>
      </c>
      <c r="E24" s="41">
        <f t="shared" si="1"/>
        <v>13.990259690400036</v>
      </c>
      <c r="F24" s="41">
        <f t="shared" si="2"/>
        <v>7.3355648648621694E-2</v>
      </c>
      <c r="G24" s="41">
        <f t="shared" si="4"/>
        <v>13.916904041751414</v>
      </c>
      <c r="H24" s="46" t="s">
        <v>13</v>
      </c>
      <c r="I24" s="41">
        <f t="shared" si="5"/>
        <v>13.990259690400036</v>
      </c>
      <c r="J24" s="43"/>
      <c r="K24" s="43"/>
      <c r="M24" s="44"/>
      <c r="N24" s="45"/>
      <c r="O24" s="45"/>
      <c r="P24" s="45"/>
      <c r="Q24" s="33"/>
      <c r="R24" s="39"/>
    </row>
    <row r="25" spans="1:18" s="104" customFormat="1" x14ac:dyDescent="0.3">
      <c r="A25" s="72" t="s">
        <v>72</v>
      </c>
      <c r="B25" s="40">
        <f t="shared" si="3"/>
        <v>37.439999999999827</v>
      </c>
      <c r="C25" s="40">
        <f t="shared" si="3"/>
        <v>402.2599999999984</v>
      </c>
      <c r="D25" s="40">
        <f t="shared" si="0"/>
        <v>203.28519999999918</v>
      </c>
      <c r="E25" s="41">
        <f t="shared" si="1"/>
        <v>12.593518139999949</v>
      </c>
      <c r="F25" s="41">
        <f t="shared" si="2"/>
        <v>7.3355648648621694E-2</v>
      </c>
      <c r="G25" s="41">
        <f t="shared" si="4"/>
        <v>12.520162491351327</v>
      </c>
      <c r="H25" s="46" t="s">
        <v>13</v>
      </c>
      <c r="I25" s="41">
        <f t="shared" si="5"/>
        <v>12.593518139999949</v>
      </c>
      <c r="J25" s="43"/>
      <c r="K25" s="43"/>
      <c r="M25" s="44"/>
      <c r="N25" s="45"/>
      <c r="O25" s="45"/>
      <c r="P25" s="45"/>
      <c r="Q25" s="33"/>
      <c r="R25" s="39"/>
    </row>
    <row r="26" spans="1:18" s="104" customFormat="1" x14ac:dyDescent="0.3">
      <c r="A26" s="72" t="s">
        <v>73</v>
      </c>
      <c r="B26" s="40">
        <f t="shared" si="3"/>
        <v>40.079999999999927</v>
      </c>
      <c r="C26" s="40">
        <f t="shared" si="3"/>
        <v>704.76000000000931</v>
      </c>
      <c r="D26" s="40">
        <f t="shared" si="0"/>
        <v>257.72512000000097</v>
      </c>
      <c r="E26" s="41">
        <f t="shared" si="1"/>
        <v>15.966071184000061</v>
      </c>
      <c r="F26" s="41">
        <f t="shared" si="2"/>
        <v>7.3355648648621694E-2</v>
      </c>
      <c r="G26" s="41">
        <f t="shared" si="4"/>
        <v>15.892715535351439</v>
      </c>
      <c r="H26" s="58" t="s">
        <v>13</v>
      </c>
      <c r="I26" s="59">
        <f t="shared" si="5"/>
        <v>15.966071184000061</v>
      </c>
      <c r="J26" s="43"/>
      <c r="K26" s="43"/>
      <c r="M26" s="44"/>
      <c r="N26" s="45"/>
      <c r="O26" s="45"/>
      <c r="P26" s="45"/>
      <c r="Q26" s="33"/>
      <c r="R26" s="39"/>
    </row>
    <row r="27" spans="1:18" s="104" customFormat="1" ht="15" thickBot="1" x14ac:dyDescent="0.35">
      <c r="G27" s="57"/>
      <c r="H27" s="60">
        <f>COUNTIF(H17:H26,"Y")</f>
        <v>10</v>
      </c>
      <c r="I27" s="61">
        <f>-PV($G$6,$G$7-H27,I26)</f>
        <v>150.51078742541551</v>
      </c>
      <c r="J27" s="56" t="s">
        <v>11</v>
      </c>
      <c r="K27" s="47"/>
      <c r="L27" s="39"/>
      <c r="M27" s="39"/>
      <c r="Q27" s="45"/>
    </row>
    <row r="28" spans="1:18" s="104" customFormat="1" ht="15" thickTop="1" x14ac:dyDescent="0.3">
      <c r="I28" s="47"/>
      <c r="J28" s="39"/>
      <c r="K28" s="47"/>
      <c r="L28" s="39"/>
      <c r="M28" s="39"/>
    </row>
    <row r="29" spans="1:18" s="104" customFormat="1" ht="43.2" x14ac:dyDescent="0.3">
      <c r="A29" s="34"/>
      <c r="B29" s="63" t="s">
        <v>16</v>
      </c>
      <c r="C29" s="63" t="s">
        <v>17</v>
      </c>
      <c r="D29" s="63" t="s">
        <v>18</v>
      </c>
      <c r="E29" s="63" t="s">
        <v>19</v>
      </c>
      <c r="F29" s="63" t="s">
        <v>20</v>
      </c>
      <c r="G29" s="63" t="s">
        <v>21</v>
      </c>
      <c r="H29" s="64" t="s">
        <v>28</v>
      </c>
      <c r="I29" s="64" t="s">
        <v>37</v>
      </c>
      <c r="K29" s="39"/>
      <c r="L29" s="39"/>
      <c r="M29" s="39"/>
    </row>
    <row r="30" spans="1:18" s="104" customFormat="1" x14ac:dyDescent="0.3">
      <c r="A30" s="96" t="s">
        <v>22</v>
      </c>
      <c r="B30" s="48">
        <f>NPV($G$6,F35:F43,F44+F45)/1000</f>
        <v>94.908969208743486</v>
      </c>
      <c r="C30" s="48">
        <f>NPV($G$6,F49:F57,F58+F59)/1000</f>
        <v>145.28287739046328</v>
      </c>
      <c r="D30" s="48">
        <f>NPV($G$6,F63:F71,F72+F73)/1000</f>
        <v>90.842760782307352</v>
      </c>
      <c r="E30" s="48">
        <f>NPV($G$6,F77:F85,F86+F87)/1000</f>
        <v>105.62739688046173</v>
      </c>
      <c r="F30" s="48">
        <f>NPV($G$6,F91:F99,F100+F101)/1000</f>
        <v>139.58409735688909</v>
      </c>
      <c r="G30" s="49">
        <f>B30*G8+C30*G9+D30*G10+E30*G11+F30*G12</f>
        <v>115.24922032377299</v>
      </c>
      <c r="H30" s="108">
        <f>B12</f>
        <v>0.71734860862173844</v>
      </c>
      <c r="I30" s="48">
        <f>G30-H30</f>
        <v>114.53187171515125</v>
      </c>
    </row>
    <row r="31" spans="1:18" s="104" customFormat="1" x14ac:dyDescent="0.3">
      <c r="I31" s="113"/>
    </row>
    <row r="32" spans="1:18" s="104" customFormat="1" x14ac:dyDescent="0.3"/>
    <row r="33" spans="1:14" s="104" customFormat="1" ht="15.6" x14ac:dyDescent="0.3">
      <c r="A33" s="409" t="s">
        <v>52</v>
      </c>
      <c r="B33" s="410"/>
      <c r="C33" s="410"/>
      <c r="D33" s="410"/>
      <c r="E33" s="410"/>
      <c r="F33" s="411"/>
      <c r="H33" s="406" t="s">
        <v>59</v>
      </c>
      <c r="I33" s="406"/>
      <c r="J33" s="406"/>
      <c r="K33" s="406"/>
      <c r="L33" s="406"/>
    </row>
    <row r="34" spans="1:14" s="104" customFormat="1" ht="43.2" x14ac:dyDescent="0.3">
      <c r="A34" s="94" t="s">
        <v>5</v>
      </c>
      <c r="B34" s="51" t="s">
        <v>151</v>
      </c>
      <c r="C34" s="51" t="s">
        <v>152</v>
      </c>
      <c r="D34" s="51" t="s">
        <v>153</v>
      </c>
      <c r="E34" s="51" t="s">
        <v>12</v>
      </c>
      <c r="F34" s="51" t="s">
        <v>58</v>
      </c>
      <c r="H34" s="94" t="s">
        <v>5</v>
      </c>
      <c r="I34" s="51" t="s">
        <v>75</v>
      </c>
      <c r="J34" s="51" t="s">
        <v>51</v>
      </c>
      <c r="K34" s="50" t="s">
        <v>0</v>
      </c>
      <c r="L34" s="51" t="s">
        <v>58</v>
      </c>
    </row>
    <row r="35" spans="1:14" s="104" customFormat="1" x14ac:dyDescent="0.3">
      <c r="A35" s="72" t="s">
        <v>64</v>
      </c>
      <c r="B35" s="40">
        <f>Base!B32-'WindMonitoring_BATS-BETS'!I35</f>
        <v>25.110000000000014</v>
      </c>
      <c r="C35" s="40">
        <f>Base!C32-'WindMonitoring_BATS-BETS'!J35</f>
        <v>65.159999999999854</v>
      </c>
      <c r="D35" s="40">
        <f>Base!D32-'WindMonitoring_BATS-BETS'!K35</f>
        <v>31.417919999999867</v>
      </c>
      <c r="E35" s="95" t="str">
        <f t="shared" ref="E35:E44" si="6">H17</f>
        <v>Y</v>
      </c>
      <c r="F35" s="52">
        <f t="shared" ref="F35:F44" si="7">IF(E35="Y",D35*$G$5,-D35*$G$5)</f>
        <v>1946.3401439999918</v>
      </c>
      <c r="H35" s="72" t="s">
        <v>64</v>
      </c>
      <c r="I35" s="40">
        <v>774.68000000000006</v>
      </c>
      <c r="J35" s="40">
        <v>10176.680000000002</v>
      </c>
      <c r="K35" s="40">
        <v>8054.1375200000002</v>
      </c>
      <c r="L35" s="40">
        <f t="shared" ref="L35:L44" si="8">K35*$G$5</f>
        <v>498953.81936400005</v>
      </c>
      <c r="N35" s="53"/>
    </row>
    <row r="36" spans="1:14" s="104" customFormat="1" x14ac:dyDescent="0.3">
      <c r="A36" s="72" t="s">
        <v>65</v>
      </c>
      <c r="B36" s="40">
        <f>Base!B33-'WindMonitoring_BATS-BETS'!I36</f>
        <v>20.790000000000077</v>
      </c>
      <c r="C36" s="40">
        <f>Base!C33-'WindMonitoring_BATS-BETS'!J36</f>
        <v>72.140000000001237</v>
      </c>
      <c r="D36" s="40">
        <f>Base!D33-'WindMonitoring_BATS-BETS'!K36</f>
        <v>56.633120000000417</v>
      </c>
      <c r="E36" s="95" t="str">
        <f t="shared" si="6"/>
        <v>Y</v>
      </c>
      <c r="F36" s="52">
        <f t="shared" si="7"/>
        <v>3508.421784000026</v>
      </c>
      <c r="H36" s="72" t="s">
        <v>65</v>
      </c>
      <c r="I36" s="40">
        <v>829.35</v>
      </c>
      <c r="J36" s="40">
        <v>10080.39</v>
      </c>
      <c r="K36" s="40">
        <v>7928.2953599999992</v>
      </c>
      <c r="L36" s="40">
        <f t="shared" si="8"/>
        <v>491157.89755199995</v>
      </c>
    </row>
    <row r="37" spans="1:14" s="104" customFormat="1" x14ac:dyDescent="0.3">
      <c r="A37" s="72" t="s">
        <v>66</v>
      </c>
      <c r="B37" s="40">
        <f>Base!B34-'WindMonitoring_BATS-BETS'!I37</f>
        <v>41.490000000000009</v>
      </c>
      <c r="C37" s="40">
        <f>Base!C34-'WindMonitoring_BATS-BETS'!J37</f>
        <v>156.84999999999854</v>
      </c>
      <c r="D37" s="40">
        <f>Base!D34-'WindMonitoring_BATS-BETS'!K37</f>
        <v>121.98735999999826</v>
      </c>
      <c r="E37" s="95" t="str">
        <f t="shared" si="6"/>
        <v>Y</v>
      </c>
      <c r="F37" s="52">
        <f t="shared" si="7"/>
        <v>7557.116951999893</v>
      </c>
      <c r="H37" s="72" t="s">
        <v>66</v>
      </c>
      <c r="I37" s="40">
        <v>898.57</v>
      </c>
      <c r="J37" s="40">
        <v>10303.510000000002</v>
      </c>
      <c r="K37" s="40">
        <v>8106.7530400000005</v>
      </c>
      <c r="L37" s="40">
        <f t="shared" si="8"/>
        <v>502213.35082800005</v>
      </c>
    </row>
    <row r="38" spans="1:14" s="104" customFormat="1" x14ac:dyDescent="0.3">
      <c r="A38" s="72" t="s">
        <v>67</v>
      </c>
      <c r="B38" s="40">
        <f>Base!B35-'WindMonitoring_BATS-BETS'!I38</f>
        <v>30.360000000000014</v>
      </c>
      <c r="C38" s="40">
        <f>Base!C35-'WindMonitoring_BATS-BETS'!J38</f>
        <v>140.79000000000087</v>
      </c>
      <c r="D38" s="40">
        <f>Base!D35-'WindMonitoring_BATS-BETS'!K38</f>
        <v>147.13752000000022</v>
      </c>
      <c r="E38" s="95" t="str">
        <f t="shared" si="6"/>
        <v>Y</v>
      </c>
      <c r="F38" s="52">
        <f t="shared" si="7"/>
        <v>9115.169364000014</v>
      </c>
      <c r="H38" s="72" t="s">
        <v>67</v>
      </c>
      <c r="I38" s="40">
        <v>962.2</v>
      </c>
      <c r="J38" s="40">
        <v>10565.36</v>
      </c>
      <c r="K38" s="40">
        <v>8180.4324799999995</v>
      </c>
      <c r="L38" s="40">
        <f t="shared" si="8"/>
        <v>506777.792136</v>
      </c>
    </row>
    <row r="39" spans="1:14" s="104" customFormat="1" x14ac:dyDescent="0.3">
      <c r="A39" s="72" t="s">
        <v>68</v>
      </c>
      <c r="B39" s="40">
        <f>Base!B36-'WindMonitoring_BATS-BETS'!I39</f>
        <v>30.529999999999973</v>
      </c>
      <c r="C39" s="40">
        <f>Base!C36-'WindMonitoring_BATS-BETS'!J39</f>
        <v>154.72999999999956</v>
      </c>
      <c r="D39" s="40">
        <f>Base!D36-'WindMonitoring_BATS-BETS'!K39</f>
        <v>160.91743999999926</v>
      </c>
      <c r="E39" s="95" t="str">
        <f t="shared" si="6"/>
        <v>Y</v>
      </c>
      <c r="F39" s="52">
        <f t="shared" si="7"/>
        <v>9968.8354079999554</v>
      </c>
      <c r="H39" s="72" t="s">
        <v>68</v>
      </c>
      <c r="I39" s="40">
        <v>1099.4100000000001</v>
      </c>
      <c r="J39" s="40">
        <v>10902.56</v>
      </c>
      <c r="K39" s="40">
        <v>8298.7126399999997</v>
      </c>
      <c r="L39" s="40">
        <f t="shared" si="8"/>
        <v>514105.24804799998</v>
      </c>
    </row>
    <row r="40" spans="1:14" s="104" customFormat="1" x14ac:dyDescent="0.3">
      <c r="A40" s="72" t="s">
        <v>69</v>
      </c>
      <c r="B40" s="40">
        <f>Base!B37-'WindMonitoring_BATS-BETS'!I40</f>
        <v>15.6400000000001</v>
      </c>
      <c r="C40" s="40">
        <f>Base!C37-'WindMonitoring_BATS-BETS'!J40</f>
        <v>210.28999999999724</v>
      </c>
      <c r="D40" s="40">
        <f>Base!D37-'WindMonitoring_BATS-BETS'!K40</f>
        <v>215.89279999999781</v>
      </c>
      <c r="E40" s="95" t="str">
        <f t="shared" si="6"/>
        <v>Y</v>
      </c>
      <c r="F40" s="52">
        <f t="shared" si="7"/>
        <v>13374.558959999864</v>
      </c>
      <c r="H40" s="72" t="s">
        <v>69</v>
      </c>
      <c r="I40" s="40">
        <v>1153.17</v>
      </c>
      <c r="J40" s="40">
        <v>11507.03</v>
      </c>
      <c r="K40" s="40">
        <v>8665.0392800000009</v>
      </c>
      <c r="L40" s="40">
        <f t="shared" si="8"/>
        <v>536799.18339600007</v>
      </c>
    </row>
    <row r="41" spans="1:14" s="104" customFormat="1" x14ac:dyDescent="0.3">
      <c r="A41" s="72" t="s">
        <v>70</v>
      </c>
      <c r="B41" s="40">
        <f>Base!B38-'WindMonitoring_BATS-BETS'!I41</f>
        <v>8.0000000000154614E-2</v>
      </c>
      <c r="C41" s="40">
        <f>Base!C38-'WindMonitoring_BATS-BETS'!J41</f>
        <v>251.30999999999949</v>
      </c>
      <c r="D41" s="40">
        <f>Base!D38-'WindMonitoring_BATS-BETS'!K41</f>
        <v>238.19736000000194</v>
      </c>
      <c r="E41" s="95" t="str">
        <f t="shared" si="6"/>
        <v>Y</v>
      </c>
      <c r="F41" s="52">
        <f t="shared" si="7"/>
        <v>14756.326452000121</v>
      </c>
      <c r="H41" s="72" t="s">
        <v>70</v>
      </c>
      <c r="I41" s="40">
        <v>1216.2699999999998</v>
      </c>
      <c r="J41" s="40">
        <v>12857.92</v>
      </c>
      <c r="K41" s="40">
        <v>9232.2541599999986</v>
      </c>
      <c r="L41" s="40">
        <f t="shared" si="8"/>
        <v>571938.14521199989</v>
      </c>
    </row>
    <row r="42" spans="1:14" s="104" customFormat="1" x14ac:dyDescent="0.3">
      <c r="A42" s="72" t="s">
        <v>71</v>
      </c>
      <c r="B42" s="40">
        <f>Base!B39-'WindMonitoring_BATS-BETS'!I42</f>
        <v>3.2400000000000091</v>
      </c>
      <c r="C42" s="40">
        <f>Base!C39-'WindMonitoring_BATS-BETS'!J42</f>
        <v>307.56999999999971</v>
      </c>
      <c r="D42" s="40">
        <f>Base!D39-'WindMonitoring_BATS-BETS'!K42</f>
        <v>257.96608000000015</v>
      </c>
      <c r="E42" s="95" t="str">
        <f t="shared" si="6"/>
        <v>Y</v>
      </c>
      <c r="F42" s="52">
        <f t="shared" si="7"/>
        <v>15980.998656000011</v>
      </c>
      <c r="H42" s="72" t="s">
        <v>71</v>
      </c>
      <c r="I42" s="40">
        <v>1268.97</v>
      </c>
      <c r="J42" s="40">
        <v>14164.839999999998</v>
      </c>
      <c r="K42" s="40">
        <v>9746.8547199999975</v>
      </c>
      <c r="L42" s="40">
        <f t="shared" si="8"/>
        <v>603817.64990399987</v>
      </c>
    </row>
    <row r="43" spans="1:14" s="104" customFormat="1" x14ac:dyDescent="0.3">
      <c r="A43" s="72" t="s">
        <v>72</v>
      </c>
      <c r="B43" s="40">
        <f>Base!B40-'WindMonitoring_BATS-BETS'!I43</f>
        <v>28.200000000000045</v>
      </c>
      <c r="C43" s="40">
        <f>Base!C40-'WindMonitoring_BATS-BETS'!J43</f>
        <v>168.38999999999942</v>
      </c>
      <c r="D43" s="40">
        <f>Base!D40-'WindMonitoring_BATS-BETS'!K43</f>
        <v>164.49936000000162</v>
      </c>
      <c r="E43" s="95" t="str">
        <f t="shared" si="6"/>
        <v>Y</v>
      </c>
      <c r="F43" s="52">
        <f t="shared" si="7"/>
        <v>10190.7353520001</v>
      </c>
      <c r="H43" s="72" t="s">
        <v>72</v>
      </c>
      <c r="I43" s="40">
        <v>1280.73</v>
      </c>
      <c r="J43" s="40">
        <v>15432.88</v>
      </c>
      <c r="K43" s="40">
        <v>10100.879679999998</v>
      </c>
      <c r="L43" s="40">
        <f t="shared" si="8"/>
        <v>625749.49617599987</v>
      </c>
    </row>
    <row r="44" spans="1:14" s="104" customFormat="1" x14ac:dyDescent="0.3">
      <c r="A44" s="72" t="s">
        <v>73</v>
      </c>
      <c r="B44" s="40">
        <f>Base!B41-'WindMonitoring_BATS-BETS'!I44</f>
        <v>16.259999999999991</v>
      </c>
      <c r="C44" s="40">
        <f>Base!C41-'WindMonitoring_BATS-BETS'!J44</f>
        <v>169.95999999999913</v>
      </c>
      <c r="D44" s="40">
        <f>Base!D41-'WindMonitoring_BATS-BETS'!K44</f>
        <v>179.23768000000018</v>
      </c>
      <c r="E44" s="95" t="str">
        <f t="shared" si="6"/>
        <v>Y</v>
      </c>
      <c r="F44" s="52">
        <f t="shared" si="7"/>
        <v>11103.774276000011</v>
      </c>
      <c r="H44" s="72" t="s">
        <v>73</v>
      </c>
      <c r="I44" s="40">
        <v>1417.0199999999998</v>
      </c>
      <c r="J44" s="40">
        <v>17893.560000000001</v>
      </c>
      <c r="K44" s="40">
        <v>11117.67288</v>
      </c>
      <c r="L44" s="40">
        <f t="shared" si="8"/>
        <v>688739.83491600002</v>
      </c>
    </row>
    <row r="45" spans="1:14" s="104" customFormat="1" ht="15" thickBot="1" x14ac:dyDescent="0.35">
      <c r="E45" s="60">
        <f>COUNTIF(E35:E44,"Y")</f>
        <v>10</v>
      </c>
      <c r="F45" s="62">
        <f>-PV($G$6,$G$7-7,F44)</f>
        <v>106256.81684008814</v>
      </c>
      <c r="G45" s="55" t="s">
        <v>11</v>
      </c>
    </row>
    <row r="46" spans="1:14" s="104" customFormat="1" ht="15" thickTop="1" x14ac:dyDescent="0.3"/>
    <row r="47" spans="1:14" s="104" customFormat="1" ht="15.6" x14ac:dyDescent="0.3">
      <c r="A47" s="409" t="s">
        <v>56</v>
      </c>
      <c r="B47" s="410"/>
      <c r="C47" s="410"/>
      <c r="D47" s="410"/>
      <c r="E47" s="410"/>
      <c r="F47" s="411"/>
      <c r="H47" s="406" t="s">
        <v>60</v>
      </c>
      <c r="I47" s="406"/>
      <c r="J47" s="406"/>
      <c r="K47" s="406"/>
      <c r="L47" s="406"/>
    </row>
    <row r="48" spans="1:14" s="104" customFormat="1" ht="43.2" x14ac:dyDescent="0.3">
      <c r="A48" s="94" t="s">
        <v>5</v>
      </c>
      <c r="B48" s="51" t="s">
        <v>151</v>
      </c>
      <c r="C48" s="51" t="s">
        <v>152</v>
      </c>
      <c r="D48" s="51" t="s">
        <v>153</v>
      </c>
      <c r="E48" s="51" t="s">
        <v>12</v>
      </c>
      <c r="F48" s="51" t="s">
        <v>58</v>
      </c>
      <c r="H48" s="94" t="s">
        <v>5</v>
      </c>
      <c r="I48" s="51" t="s">
        <v>75</v>
      </c>
      <c r="J48" s="51" t="s">
        <v>51</v>
      </c>
      <c r="K48" s="50" t="s">
        <v>0</v>
      </c>
      <c r="L48" s="51" t="s">
        <v>58</v>
      </c>
    </row>
    <row r="49" spans="1:12" s="104" customFormat="1" x14ac:dyDescent="0.3">
      <c r="A49" s="72" t="s">
        <v>64</v>
      </c>
      <c r="B49" s="40">
        <f>Base!B46-'WindMonitoring_BATS-BETS'!I49</f>
        <v>21.870000000000005</v>
      </c>
      <c r="C49" s="40">
        <f>Base!C46-'WindMonitoring_BATS-BETS'!J49</f>
        <v>73.730000000001382</v>
      </c>
      <c r="D49" s="40">
        <f>Base!D46-'WindMonitoring_BATS-BETS'!K49</f>
        <v>34.726160000000164</v>
      </c>
      <c r="E49" s="95" t="str">
        <f>E35</f>
        <v>Y</v>
      </c>
      <c r="F49" s="52">
        <f t="shared" ref="F49:F58" si="9">IF(E49="Y",D49*$G$5,-D49*$G$5)</f>
        <v>2151.2856120000101</v>
      </c>
      <c r="H49" s="72" t="s">
        <v>64</v>
      </c>
      <c r="I49" s="40">
        <v>782.11</v>
      </c>
      <c r="J49" s="40">
        <v>10172.480000000001</v>
      </c>
      <c r="K49" s="40">
        <v>8052.8607200000006</v>
      </c>
      <c r="L49" s="40">
        <f t="shared" ref="L49:L58" si="10">K49*$G$5</f>
        <v>498874.72160400008</v>
      </c>
    </row>
    <row r="50" spans="1:12" s="104" customFormat="1" x14ac:dyDescent="0.3">
      <c r="A50" s="72" t="s">
        <v>65</v>
      </c>
      <c r="B50" s="40">
        <f>Base!B47-'WindMonitoring_BATS-BETS'!I50</f>
        <v>14.460000000000036</v>
      </c>
      <c r="C50" s="40">
        <f>Base!C47-'WindMonitoring_BATS-BETS'!J50</f>
        <v>78.349999999998545</v>
      </c>
      <c r="D50" s="40">
        <f>Base!D47-'WindMonitoring_BATS-BETS'!K50</f>
        <v>44.134640000000218</v>
      </c>
      <c r="E50" s="95" t="str">
        <f t="shared" ref="E50:E58" si="11">E36</f>
        <v>Y</v>
      </c>
      <c r="F50" s="52">
        <f t="shared" si="9"/>
        <v>2734.1409480000134</v>
      </c>
      <c r="H50" s="72" t="s">
        <v>65</v>
      </c>
      <c r="I50" s="40">
        <v>836.68000000000006</v>
      </c>
      <c r="J50" s="40">
        <v>10242.310000000001</v>
      </c>
      <c r="K50" s="40">
        <v>8005.2059199999985</v>
      </c>
      <c r="L50" s="40">
        <f t="shared" si="10"/>
        <v>495922.50674399995</v>
      </c>
    </row>
    <row r="51" spans="1:12" s="104" customFormat="1" x14ac:dyDescent="0.3">
      <c r="A51" s="72" t="s">
        <v>66</v>
      </c>
      <c r="B51" s="40">
        <f>Base!B48-'WindMonitoring_BATS-BETS'!I51</f>
        <v>13.660000000000082</v>
      </c>
      <c r="C51" s="40">
        <f>Base!C48-'WindMonitoring_BATS-BETS'!J51</f>
        <v>78.680000000000291</v>
      </c>
      <c r="D51" s="40">
        <f>Base!D48-'WindMonitoring_BATS-BETS'!K51</f>
        <v>57.60512000000017</v>
      </c>
      <c r="E51" s="95" t="str">
        <f t="shared" si="11"/>
        <v>Y</v>
      </c>
      <c r="F51" s="52">
        <f t="shared" si="9"/>
        <v>3568.6371840000106</v>
      </c>
      <c r="H51" s="72" t="s">
        <v>66</v>
      </c>
      <c r="I51" s="40">
        <v>925.68000000000006</v>
      </c>
      <c r="J51" s="40">
        <v>10788.260000000002</v>
      </c>
      <c r="K51" s="40">
        <v>8331.3034399999997</v>
      </c>
      <c r="L51" s="40">
        <f t="shared" si="10"/>
        <v>516124.24810800003</v>
      </c>
    </row>
    <row r="52" spans="1:12" s="104" customFormat="1" x14ac:dyDescent="0.3">
      <c r="A52" s="72" t="s">
        <v>67</v>
      </c>
      <c r="B52" s="40">
        <f>Base!B49-'WindMonitoring_BATS-BETS'!I52</f>
        <v>40.240000000000009</v>
      </c>
      <c r="C52" s="40">
        <f>Base!C49-'WindMonitoring_BATS-BETS'!J52</f>
        <v>227.07000000000153</v>
      </c>
      <c r="D52" s="40">
        <f>Base!D49-'WindMonitoring_BATS-BETS'!K52</f>
        <v>143.70312000000013</v>
      </c>
      <c r="E52" s="95" t="str">
        <f t="shared" si="11"/>
        <v>Y</v>
      </c>
      <c r="F52" s="52">
        <f t="shared" si="9"/>
        <v>8902.4082840000083</v>
      </c>
      <c r="H52" s="72" t="s">
        <v>67</v>
      </c>
      <c r="I52" s="40">
        <v>1016.01</v>
      </c>
      <c r="J52" s="40">
        <v>11469.01</v>
      </c>
      <c r="K52" s="40">
        <v>8742.0611200000003</v>
      </c>
      <c r="L52" s="40">
        <f t="shared" si="10"/>
        <v>541570.686384</v>
      </c>
    </row>
    <row r="53" spans="1:12" s="104" customFormat="1" x14ac:dyDescent="0.3">
      <c r="A53" s="72" t="s">
        <v>68</v>
      </c>
      <c r="B53" s="40">
        <f>Base!B50-'WindMonitoring_BATS-BETS'!I53</f>
        <v>-33.459999999999582</v>
      </c>
      <c r="C53" s="40">
        <f>Base!C50-'WindMonitoring_BATS-BETS'!J53</f>
        <v>247.67999999999847</v>
      </c>
      <c r="D53" s="40">
        <f>Base!D50-'WindMonitoring_BATS-BETS'!K53</f>
        <v>142.73711999999978</v>
      </c>
      <c r="E53" s="95" t="str">
        <f t="shared" si="11"/>
        <v>Y</v>
      </c>
      <c r="F53" s="52">
        <f t="shared" si="9"/>
        <v>8842.564583999987</v>
      </c>
      <c r="H53" s="72" t="s">
        <v>68</v>
      </c>
      <c r="I53" s="40">
        <v>1189.0599999999997</v>
      </c>
      <c r="J53" s="40">
        <v>12244.82</v>
      </c>
      <c r="K53" s="40">
        <v>9167.8457599999983</v>
      </c>
      <c r="L53" s="40">
        <f t="shared" si="10"/>
        <v>567948.04483199993</v>
      </c>
    </row>
    <row r="54" spans="1:12" s="104" customFormat="1" x14ac:dyDescent="0.3">
      <c r="A54" s="72" t="s">
        <v>69</v>
      </c>
      <c r="B54" s="40">
        <f>Base!B51-'WindMonitoring_BATS-BETS'!I54</f>
        <v>21.539999999999964</v>
      </c>
      <c r="C54" s="40">
        <f>Base!C51-'WindMonitoring_BATS-BETS'!J54</f>
        <v>272.98999999999978</v>
      </c>
      <c r="D54" s="40">
        <f>Base!D51-'WindMonitoring_BATS-BETS'!K54</f>
        <v>271.20127999999931</v>
      </c>
      <c r="E54" s="95" t="str">
        <f t="shared" si="11"/>
        <v>Y</v>
      </c>
      <c r="F54" s="52">
        <f t="shared" si="9"/>
        <v>16800.91929599996</v>
      </c>
      <c r="H54" s="72" t="s">
        <v>69</v>
      </c>
      <c r="I54" s="40">
        <v>1361.8700000000001</v>
      </c>
      <c r="J54" s="40">
        <v>13035.4</v>
      </c>
      <c r="K54" s="40">
        <v>9536.7680799999998</v>
      </c>
      <c r="L54" s="40">
        <f t="shared" si="10"/>
        <v>590802.78255600005</v>
      </c>
    </row>
    <row r="55" spans="1:12" s="104" customFormat="1" x14ac:dyDescent="0.3">
      <c r="A55" s="72" t="s">
        <v>70</v>
      </c>
      <c r="B55" s="40">
        <f>Base!B52-'WindMonitoring_BATS-BETS'!I55</f>
        <v>20.460000000000264</v>
      </c>
      <c r="C55" s="40">
        <f>Base!C52-'WindMonitoring_BATS-BETS'!J55</f>
        <v>132.16999999999643</v>
      </c>
      <c r="D55" s="40">
        <f>Base!D52-'WindMonitoring_BATS-BETS'!K55</f>
        <v>133.21399999999994</v>
      </c>
      <c r="E55" s="95" t="str">
        <f t="shared" si="11"/>
        <v>Y</v>
      </c>
      <c r="F55" s="52">
        <f t="shared" si="9"/>
        <v>8252.607299999996</v>
      </c>
      <c r="H55" s="72" t="s">
        <v>70</v>
      </c>
      <c r="I55" s="40">
        <v>1383.2999999999997</v>
      </c>
      <c r="J55" s="40">
        <v>14545.8</v>
      </c>
      <c r="K55" s="40">
        <v>10261.363199999998</v>
      </c>
      <c r="L55" s="40">
        <f t="shared" si="10"/>
        <v>635691.45023999992</v>
      </c>
    </row>
    <row r="56" spans="1:12" s="104" customFormat="1" x14ac:dyDescent="0.3">
      <c r="A56" s="72" t="s">
        <v>71</v>
      </c>
      <c r="B56" s="40">
        <f>Base!B53-'WindMonitoring_BATS-BETS'!I56</f>
        <v>-8.1000000000001364</v>
      </c>
      <c r="C56" s="40">
        <f>Base!C53-'WindMonitoring_BATS-BETS'!J56</f>
        <v>240.46999999999753</v>
      </c>
      <c r="D56" s="40">
        <f>Base!D53-'WindMonitoring_BATS-BETS'!K56</f>
        <v>187.21208000000115</v>
      </c>
      <c r="E56" s="95" t="str">
        <f t="shared" si="11"/>
        <v>Y</v>
      </c>
      <c r="F56" s="52">
        <f t="shared" si="9"/>
        <v>11597.788356000072</v>
      </c>
      <c r="H56" s="72" t="s">
        <v>71</v>
      </c>
      <c r="I56" s="40">
        <v>1449.6100000000001</v>
      </c>
      <c r="J56" s="40">
        <v>16276.91</v>
      </c>
      <c r="K56" s="40">
        <v>10928.845999999998</v>
      </c>
      <c r="L56" s="40">
        <f t="shared" si="10"/>
        <v>677042.00969999994</v>
      </c>
    </row>
    <row r="57" spans="1:12" s="104" customFormat="1" x14ac:dyDescent="0.3">
      <c r="A57" s="72" t="s">
        <v>72</v>
      </c>
      <c r="B57" s="40">
        <f>Base!B54-'WindMonitoring_BATS-BETS'!I57</f>
        <v>-57</v>
      </c>
      <c r="C57" s="40">
        <f>Base!C54-'WindMonitoring_BATS-BETS'!J57</f>
        <v>402.2599999999984</v>
      </c>
      <c r="D57" s="40">
        <f>Base!D54-'WindMonitoring_BATS-BETS'!K57</f>
        <v>256.05127999999786</v>
      </c>
      <c r="E57" s="95" t="str">
        <f t="shared" si="11"/>
        <v>Y</v>
      </c>
      <c r="F57" s="52">
        <f t="shared" si="9"/>
        <v>15862.376795999868</v>
      </c>
      <c r="H57" s="72" t="s">
        <v>72</v>
      </c>
      <c r="I57" s="40">
        <v>1722.9</v>
      </c>
      <c r="J57" s="40">
        <v>18762.970000000005</v>
      </c>
      <c r="K57" s="40">
        <v>12058.151440000001</v>
      </c>
      <c r="L57" s="40">
        <f t="shared" si="10"/>
        <v>747002.48170800018</v>
      </c>
    </row>
    <row r="58" spans="1:12" s="104" customFormat="1" x14ac:dyDescent="0.3">
      <c r="A58" s="72" t="s">
        <v>73</v>
      </c>
      <c r="B58" s="40">
        <f>Base!B55-'WindMonitoring_BATS-BETS'!I58</f>
        <v>-17.759999999999991</v>
      </c>
      <c r="C58" s="40">
        <f>Base!C55-'WindMonitoring_BATS-BETS'!J58</f>
        <v>704.76000000000931</v>
      </c>
      <c r="D58" s="40">
        <f>Base!D55-'WindMonitoring_BATS-BETS'!K58</f>
        <v>399.92592000000332</v>
      </c>
      <c r="E58" s="95" t="str">
        <f t="shared" si="11"/>
        <v>Y</v>
      </c>
      <c r="F58" s="52">
        <f t="shared" si="9"/>
        <v>24775.410744000208</v>
      </c>
      <c r="H58" s="72" t="s">
        <v>73</v>
      </c>
      <c r="I58" s="40">
        <v>1967.59</v>
      </c>
      <c r="J58" s="40">
        <v>22452.279999999992</v>
      </c>
      <c r="K58" s="40">
        <v>13592.401839999997</v>
      </c>
      <c r="L58" s="40">
        <f t="shared" si="10"/>
        <v>842049.29398799979</v>
      </c>
    </row>
    <row r="59" spans="1:12" s="104" customFormat="1" ht="15" thickBot="1" x14ac:dyDescent="0.35">
      <c r="E59" s="60">
        <f>COUNTIF(E49:E58,"Y")</f>
        <v>10</v>
      </c>
      <c r="F59" s="62">
        <f>-PV($G$6,$G$7-7,F58)</f>
        <v>237086.61722827508</v>
      </c>
      <c r="G59" s="55" t="s">
        <v>11</v>
      </c>
    </row>
    <row r="60" spans="1:12" s="104" customFormat="1" ht="15" thickTop="1" x14ac:dyDescent="0.3"/>
    <row r="61" spans="1:12" s="104" customFormat="1" ht="15.6" x14ac:dyDescent="0.3">
      <c r="A61" s="409" t="s">
        <v>55</v>
      </c>
      <c r="B61" s="410"/>
      <c r="C61" s="410"/>
      <c r="D61" s="410"/>
      <c r="E61" s="410"/>
      <c r="F61" s="411"/>
      <c r="H61" s="406" t="s">
        <v>61</v>
      </c>
      <c r="I61" s="406"/>
      <c r="J61" s="406"/>
      <c r="K61" s="406"/>
      <c r="L61" s="406"/>
    </row>
    <row r="62" spans="1:12" s="104" customFormat="1" ht="43.2" x14ac:dyDescent="0.3">
      <c r="A62" s="94" t="s">
        <v>5</v>
      </c>
      <c r="B62" s="51" t="s">
        <v>151</v>
      </c>
      <c r="C62" s="51" t="s">
        <v>152</v>
      </c>
      <c r="D62" s="51" t="s">
        <v>153</v>
      </c>
      <c r="E62" s="51" t="s">
        <v>12</v>
      </c>
      <c r="F62" s="51" t="s">
        <v>58</v>
      </c>
      <c r="H62" s="94" t="s">
        <v>5</v>
      </c>
      <c r="I62" s="51" t="s">
        <v>75</v>
      </c>
      <c r="J62" s="51" t="s">
        <v>51</v>
      </c>
      <c r="K62" s="50" t="s">
        <v>0</v>
      </c>
      <c r="L62" s="51" t="s">
        <v>58</v>
      </c>
    </row>
    <row r="63" spans="1:12" s="104" customFormat="1" x14ac:dyDescent="0.3">
      <c r="A63" s="72" t="s">
        <v>64</v>
      </c>
      <c r="B63" s="40">
        <f>Base!B60-'WindMonitoring_BATS-BETS'!I63</f>
        <v>18.550000000000068</v>
      </c>
      <c r="C63" s="40">
        <f>Base!C60-'WindMonitoring_BATS-BETS'!J63</f>
        <v>63.399999999999636</v>
      </c>
      <c r="D63" s="40">
        <f>Base!D60-'WindMonitoring_BATS-BETS'!K63</f>
        <v>29.609199999999873</v>
      </c>
      <c r="E63" s="95" t="str">
        <f>E35</f>
        <v>Y</v>
      </c>
      <c r="F63" s="52">
        <f t="shared" ref="F63:F72" si="12">IF(E63="Y",D63*$G$5,-D63*$G$5)</f>
        <v>1834.2899399999922</v>
      </c>
      <c r="H63" s="72" t="s">
        <v>64</v>
      </c>
      <c r="I63" s="40">
        <v>747.92999999999984</v>
      </c>
      <c r="J63" s="40">
        <v>9874.68</v>
      </c>
      <c r="K63" s="40">
        <v>7879.0392000000002</v>
      </c>
      <c r="L63" s="40">
        <f t="shared" ref="L63:L72" si="13">K63*$G$5</f>
        <v>488106.47844000004</v>
      </c>
    </row>
    <row r="64" spans="1:12" s="104" customFormat="1" x14ac:dyDescent="0.3">
      <c r="A64" s="72" t="s">
        <v>65</v>
      </c>
      <c r="B64" s="40">
        <f>Base!B61-'WindMonitoring_BATS-BETS'!I64</f>
        <v>30.069999999999936</v>
      </c>
      <c r="C64" s="40">
        <f>Base!C61-'WindMonitoring_BATS-BETS'!J64</f>
        <v>70.540000000000873</v>
      </c>
      <c r="D64" s="40">
        <f>Base!D61-'WindMonitoring_BATS-BETS'!K64</f>
        <v>49.97320000000127</v>
      </c>
      <c r="E64" s="95" t="str">
        <f t="shared" ref="E64:E72" si="14">E36</f>
        <v>Y</v>
      </c>
      <c r="F64" s="52">
        <f t="shared" si="12"/>
        <v>3095.839740000079</v>
      </c>
      <c r="H64" s="72" t="s">
        <v>65</v>
      </c>
      <c r="I64" s="40">
        <v>769.47</v>
      </c>
      <c r="J64" s="40">
        <v>9742.869999999999</v>
      </c>
      <c r="K64" s="40">
        <v>7780.4631999999983</v>
      </c>
      <c r="L64" s="40">
        <f t="shared" si="13"/>
        <v>481999.69523999991</v>
      </c>
    </row>
    <row r="65" spans="1:15" s="104" customFormat="1" x14ac:dyDescent="0.3">
      <c r="A65" s="72" t="s">
        <v>66</v>
      </c>
      <c r="B65" s="40">
        <f>Base!B62-'WindMonitoring_BATS-BETS'!I65</f>
        <v>43.5</v>
      </c>
      <c r="C65" s="40">
        <f>Base!C62-'WindMonitoring_BATS-BETS'!J65</f>
        <v>143.60000000000036</v>
      </c>
      <c r="D65" s="40">
        <f>Base!D62-'WindMonitoring_BATS-BETS'!K65</f>
        <v>96.529520000000048</v>
      </c>
      <c r="E65" s="95" t="str">
        <f t="shared" si="14"/>
        <v>Y</v>
      </c>
      <c r="F65" s="52">
        <f t="shared" si="12"/>
        <v>5980.0037640000037</v>
      </c>
      <c r="H65" s="72" t="s">
        <v>66</v>
      </c>
      <c r="I65" s="40">
        <v>781.91000000000008</v>
      </c>
      <c r="J65" s="40">
        <v>9704.01</v>
      </c>
      <c r="K65" s="40">
        <v>7790.6920800000007</v>
      </c>
      <c r="L65" s="40">
        <f t="shared" si="13"/>
        <v>482633.37435600004</v>
      </c>
    </row>
    <row r="66" spans="1:15" s="104" customFormat="1" x14ac:dyDescent="0.3">
      <c r="A66" s="72" t="s">
        <v>67</v>
      </c>
      <c r="B66" s="40">
        <f>Base!B63-'WindMonitoring_BATS-BETS'!I66</f>
        <v>40.400000000000091</v>
      </c>
      <c r="C66" s="40">
        <f>Base!C63-'WindMonitoring_BATS-BETS'!J66</f>
        <v>144.59000000000196</v>
      </c>
      <c r="D66" s="40">
        <f>Base!D63-'WindMonitoring_BATS-BETS'!K66</f>
        <v>134.59544000000005</v>
      </c>
      <c r="E66" s="95" t="str">
        <f t="shared" si="14"/>
        <v>Y</v>
      </c>
      <c r="F66" s="52">
        <f t="shared" si="12"/>
        <v>8338.1875080000045</v>
      </c>
      <c r="H66" s="72" t="s">
        <v>67</v>
      </c>
      <c r="I66" s="40">
        <v>812.4899999999999</v>
      </c>
      <c r="J66" s="40">
        <v>9807.630000000001</v>
      </c>
      <c r="K66" s="40">
        <v>7813.7570400000004</v>
      </c>
      <c r="L66" s="40">
        <f t="shared" si="13"/>
        <v>484062.24862800003</v>
      </c>
    </row>
    <row r="67" spans="1:15" s="104" customFormat="1" x14ac:dyDescent="0.3">
      <c r="A67" s="72" t="s">
        <v>68</v>
      </c>
      <c r="B67" s="40">
        <f>Base!B64-'WindMonitoring_BATS-BETS'!I67</f>
        <v>23.540000000000191</v>
      </c>
      <c r="C67" s="40">
        <f>Base!C64-'WindMonitoring_BATS-BETS'!J67</f>
        <v>195.66000000000167</v>
      </c>
      <c r="D67" s="40">
        <f>Base!D64-'WindMonitoring_BATS-BETS'!K67</f>
        <v>166.04519999999866</v>
      </c>
      <c r="E67" s="95" t="str">
        <f t="shared" si="14"/>
        <v>Y</v>
      </c>
      <c r="F67" s="52">
        <f t="shared" si="12"/>
        <v>10286.500139999918</v>
      </c>
      <c r="H67" s="72" t="s">
        <v>68</v>
      </c>
      <c r="I67" s="40">
        <v>942.16</v>
      </c>
      <c r="J67" s="40">
        <v>10051.98</v>
      </c>
      <c r="K67" s="40">
        <v>7921.4474399999999</v>
      </c>
      <c r="L67" s="40">
        <f t="shared" si="13"/>
        <v>490733.66890799999</v>
      </c>
    </row>
    <row r="68" spans="1:15" s="104" customFormat="1" x14ac:dyDescent="0.3">
      <c r="A68" s="72" t="s">
        <v>69</v>
      </c>
      <c r="B68" s="40">
        <f>Base!B65-'WindMonitoring_BATS-BETS'!I68</f>
        <v>9.7400000000000091</v>
      </c>
      <c r="C68" s="40">
        <f>Base!C65-'WindMonitoring_BATS-BETS'!J68</f>
        <v>236.36000000000058</v>
      </c>
      <c r="D68" s="40">
        <f>Base!D65-'WindMonitoring_BATS-BETS'!K68</f>
        <v>205.68727999999919</v>
      </c>
      <c r="E68" s="95" t="str">
        <f t="shared" si="14"/>
        <v>Y</v>
      </c>
      <c r="F68" s="52">
        <f t="shared" si="12"/>
        <v>12742.326995999951</v>
      </c>
      <c r="H68" s="72" t="s">
        <v>69</v>
      </c>
      <c r="I68" s="40">
        <v>996.63999999999987</v>
      </c>
      <c r="J68" s="40">
        <v>10286.58</v>
      </c>
      <c r="K68" s="40">
        <v>8089.440239999999</v>
      </c>
      <c r="L68" s="40">
        <f t="shared" si="13"/>
        <v>501140.82286799996</v>
      </c>
    </row>
    <row r="69" spans="1:15" s="104" customFormat="1" x14ac:dyDescent="0.3">
      <c r="A69" s="72" t="s">
        <v>70</v>
      </c>
      <c r="B69" s="40">
        <f>Base!B66-'WindMonitoring_BATS-BETS'!I69</f>
        <v>9.2400000000002365</v>
      </c>
      <c r="C69" s="40">
        <f>Base!C66-'WindMonitoring_BATS-BETS'!J69</f>
        <v>239.56000000000131</v>
      </c>
      <c r="D69" s="40">
        <f>Base!D66-'WindMonitoring_BATS-BETS'!K69</f>
        <v>207.21687999999995</v>
      </c>
      <c r="E69" s="95" t="str">
        <f t="shared" si="14"/>
        <v>Y</v>
      </c>
      <c r="F69" s="52">
        <f t="shared" si="12"/>
        <v>12837.085715999998</v>
      </c>
      <c r="H69" s="72" t="s">
        <v>70</v>
      </c>
      <c r="I69" s="40">
        <v>1058.32</v>
      </c>
      <c r="J69" s="40">
        <v>10805.179999999998</v>
      </c>
      <c r="K69" s="40">
        <v>8323.7172799999989</v>
      </c>
      <c r="L69" s="40">
        <f t="shared" si="13"/>
        <v>515654.28549599997</v>
      </c>
    </row>
    <row r="70" spans="1:15" s="104" customFormat="1" x14ac:dyDescent="0.3">
      <c r="A70" s="72" t="s">
        <v>71</v>
      </c>
      <c r="B70" s="40">
        <f>Base!B67-'WindMonitoring_BATS-BETS'!I70</f>
        <v>13.379999999999882</v>
      </c>
      <c r="C70" s="40">
        <f>Base!C67-'WindMonitoring_BATS-BETS'!J70</f>
        <v>253.35999999999876</v>
      </c>
      <c r="D70" s="40">
        <f>Base!D67-'WindMonitoring_BATS-BETS'!K70</f>
        <v>209.87392</v>
      </c>
      <c r="E70" s="95" t="str">
        <f t="shared" si="14"/>
        <v>Y</v>
      </c>
      <c r="F70" s="52">
        <f t="shared" si="12"/>
        <v>13001.689344</v>
      </c>
      <c r="H70" s="72" t="s">
        <v>71</v>
      </c>
      <c r="I70" s="40">
        <v>1085.74</v>
      </c>
      <c r="J70" s="40">
        <v>11281.250000000002</v>
      </c>
      <c r="K70" s="40">
        <v>8554.2732799999994</v>
      </c>
      <c r="L70" s="40">
        <f t="shared" si="13"/>
        <v>529937.22969599999</v>
      </c>
    </row>
    <row r="71" spans="1:15" s="104" customFormat="1" x14ac:dyDescent="0.3">
      <c r="A71" s="72" t="s">
        <v>72</v>
      </c>
      <c r="B71" s="40">
        <f>Base!B68-'WindMonitoring_BATS-BETS'!I71</f>
        <v>9.1700000000000728</v>
      </c>
      <c r="C71" s="40">
        <f>Base!C68-'WindMonitoring_BATS-BETS'!J71</f>
        <v>158.18000000000029</v>
      </c>
      <c r="D71" s="40">
        <f>Base!D68-'WindMonitoring_BATS-BETS'!K71</f>
        <v>181.45423999999912</v>
      </c>
      <c r="E71" s="95" t="str">
        <f t="shared" si="14"/>
        <v>Y</v>
      </c>
      <c r="F71" s="52">
        <f t="shared" si="12"/>
        <v>11241.090167999946</v>
      </c>
      <c r="H71" s="72" t="s">
        <v>72</v>
      </c>
      <c r="I71" s="40">
        <v>1033.9100000000001</v>
      </c>
      <c r="J71" s="40">
        <v>11332.659999999998</v>
      </c>
      <c r="K71" s="40">
        <v>8385.4967199999992</v>
      </c>
      <c r="L71" s="40">
        <f t="shared" si="13"/>
        <v>519481.52180399996</v>
      </c>
    </row>
    <row r="72" spans="1:15" s="104" customFormat="1" x14ac:dyDescent="0.3">
      <c r="A72" s="72" t="s">
        <v>73</v>
      </c>
      <c r="B72" s="40">
        <f>Base!B69-'WindMonitoring_BATS-BETS'!I72</f>
        <v>7.4100000000000819</v>
      </c>
      <c r="C72" s="40">
        <f>Base!C69-'WindMonitoring_BATS-BETS'!J72</f>
        <v>163.30000000000109</v>
      </c>
      <c r="D72" s="40">
        <f>Base!D69-'WindMonitoring_BATS-BETS'!K72</f>
        <v>179.95528000000013</v>
      </c>
      <c r="E72" s="95" t="str">
        <f t="shared" si="14"/>
        <v>Y</v>
      </c>
      <c r="F72" s="52">
        <f t="shared" si="12"/>
        <v>11148.229596000008</v>
      </c>
      <c r="H72" s="72" t="s">
        <v>73</v>
      </c>
      <c r="I72" s="40">
        <v>1076.71</v>
      </c>
      <c r="J72" s="40">
        <v>12339.229999999998</v>
      </c>
      <c r="K72" s="40">
        <v>8758.23344</v>
      </c>
      <c r="L72" s="40">
        <f t="shared" si="13"/>
        <v>542572.56160800008</v>
      </c>
    </row>
    <row r="73" spans="1:15" s="104" customFormat="1" ht="15" thickBot="1" x14ac:dyDescent="0.35">
      <c r="E73" s="60">
        <f>COUNTIF(E63:E72,"Y")</f>
        <v>10</v>
      </c>
      <c r="F73" s="62">
        <f>-PV($G$6,$G$7-7,F72)</f>
        <v>106682.22901773092</v>
      </c>
      <c r="G73" s="55" t="s">
        <v>11</v>
      </c>
    </row>
    <row r="74" spans="1:15" s="104" customFormat="1" ht="15" thickTop="1" x14ac:dyDescent="0.3"/>
    <row r="75" spans="1:15" s="104" customFormat="1" ht="15.6" x14ac:dyDescent="0.3">
      <c r="A75" s="409" t="s">
        <v>54</v>
      </c>
      <c r="B75" s="410"/>
      <c r="C75" s="410"/>
      <c r="D75" s="410"/>
      <c r="E75" s="410"/>
      <c r="F75" s="411"/>
      <c r="H75" s="406" t="s">
        <v>62</v>
      </c>
      <c r="I75" s="406"/>
      <c r="J75" s="406"/>
      <c r="K75" s="406"/>
      <c r="L75" s="406"/>
    </row>
    <row r="76" spans="1:15" s="104" customFormat="1" ht="43.2" x14ac:dyDescent="0.3">
      <c r="A76" s="94" t="s">
        <v>5</v>
      </c>
      <c r="B76" s="51" t="s">
        <v>151</v>
      </c>
      <c r="C76" s="51" t="s">
        <v>152</v>
      </c>
      <c r="D76" s="51" t="s">
        <v>153</v>
      </c>
      <c r="E76" s="51" t="s">
        <v>12</v>
      </c>
      <c r="F76" s="51" t="s">
        <v>58</v>
      </c>
      <c r="H76" s="94" t="s">
        <v>5</v>
      </c>
      <c r="I76" s="51" t="s">
        <v>75</v>
      </c>
      <c r="J76" s="51" t="s">
        <v>51</v>
      </c>
      <c r="K76" s="50" t="s">
        <v>0</v>
      </c>
      <c r="L76" s="51" t="s">
        <v>58</v>
      </c>
    </row>
    <row r="77" spans="1:15" s="104" customFormat="1" x14ac:dyDescent="0.3">
      <c r="A77" s="72" t="s">
        <v>64</v>
      </c>
      <c r="B77" s="40">
        <f>Base!B74-'WindMonitoring_BATS-BETS'!I77</f>
        <v>18.550000000000068</v>
      </c>
      <c r="C77" s="40">
        <f>Base!C74-'WindMonitoring_BATS-BETS'!J77</f>
        <v>63.399999999999636</v>
      </c>
      <c r="D77" s="40">
        <f>Base!D74-'WindMonitoring_BATS-BETS'!K77</f>
        <v>29.609199999999873</v>
      </c>
      <c r="E77" s="95" t="str">
        <f>E35</f>
        <v>Y</v>
      </c>
      <c r="F77" s="52">
        <f t="shared" ref="F77:F86" si="15">IF(E77="Y",D77*$G$5,-D77*$G$5)</f>
        <v>1834.2899399999922</v>
      </c>
      <c r="H77" s="72" t="s">
        <v>64</v>
      </c>
      <c r="I77" s="40">
        <v>747.92999999999984</v>
      </c>
      <c r="J77" s="40">
        <v>9874.68</v>
      </c>
      <c r="K77" s="40">
        <v>7879.0392000000002</v>
      </c>
      <c r="L77" s="40">
        <f t="shared" ref="L77:L86" si="16">K77*$G$5</f>
        <v>488106.47844000004</v>
      </c>
    </row>
    <row r="78" spans="1:15" s="104" customFormat="1" x14ac:dyDescent="0.3">
      <c r="A78" s="72" t="s">
        <v>65</v>
      </c>
      <c r="B78" s="40">
        <f>Base!B75-'WindMonitoring_BATS-BETS'!I78</f>
        <v>18.530000000000086</v>
      </c>
      <c r="C78" s="40">
        <f>Base!C75-'WindMonitoring_BATS-BETS'!J78</f>
        <v>78.8799999999992</v>
      </c>
      <c r="D78" s="40">
        <f>Base!D75-'WindMonitoring_BATS-BETS'!K78</f>
        <v>40.147599999999329</v>
      </c>
      <c r="E78" s="95" t="str">
        <f t="shared" ref="E78:E86" si="17">E36</f>
        <v>Y</v>
      </c>
      <c r="F78" s="52">
        <f t="shared" si="15"/>
        <v>2487.1438199999584</v>
      </c>
      <c r="H78" s="72" t="s">
        <v>65</v>
      </c>
      <c r="I78" s="40">
        <v>776.19999999999993</v>
      </c>
      <c r="J78" s="40">
        <v>9866.67</v>
      </c>
      <c r="K78" s="40">
        <v>7846.7318399999995</v>
      </c>
      <c r="L78" s="40">
        <f t="shared" si="16"/>
        <v>486105.037488</v>
      </c>
    </row>
    <row r="79" spans="1:15" s="104" customFormat="1" x14ac:dyDescent="0.3">
      <c r="A79" s="72" t="s">
        <v>66</v>
      </c>
      <c r="B79" s="40">
        <f>Base!B76-'WindMonitoring_BATS-BETS'!I79</f>
        <v>16.960000000000036</v>
      </c>
      <c r="C79" s="40">
        <f>Base!C76-'WindMonitoring_BATS-BETS'!J79</f>
        <v>71.280000000000655</v>
      </c>
      <c r="D79" s="40">
        <f>Base!D76-'WindMonitoring_BATS-BETS'!K79</f>
        <v>42.068879999999808</v>
      </c>
      <c r="E79" s="95" t="str">
        <f t="shared" si="17"/>
        <v>Y</v>
      </c>
      <c r="F79" s="52">
        <f t="shared" si="15"/>
        <v>2606.1671159999883</v>
      </c>
      <c r="H79" s="72" t="s">
        <v>66</v>
      </c>
      <c r="I79" s="40">
        <v>805.07</v>
      </c>
      <c r="J79" s="40">
        <v>10063.09</v>
      </c>
      <c r="K79" s="40">
        <v>7971.7770399999999</v>
      </c>
      <c r="L79" s="40">
        <f t="shared" si="16"/>
        <v>493851.58762800001</v>
      </c>
      <c r="N79" s="39"/>
      <c r="O79" s="39"/>
    </row>
    <row r="80" spans="1:15" s="104" customFormat="1" x14ac:dyDescent="0.3">
      <c r="A80" s="72" t="s">
        <v>67</v>
      </c>
      <c r="B80" s="40">
        <f>Base!B77-'WindMonitoring_BATS-BETS'!I80</f>
        <v>39.96000000000015</v>
      </c>
      <c r="C80" s="40">
        <f>Base!C77-'WindMonitoring_BATS-BETS'!J80</f>
        <v>200.28000000000247</v>
      </c>
      <c r="D80" s="40">
        <f>Base!D77-'WindMonitoring_BATS-BETS'!K80</f>
        <v>129.85176000000138</v>
      </c>
      <c r="E80" s="95" t="str">
        <f t="shared" si="17"/>
        <v>Y</v>
      </c>
      <c r="F80" s="52">
        <f t="shared" si="15"/>
        <v>8044.3165320000853</v>
      </c>
      <c r="H80" s="72" t="s">
        <v>67</v>
      </c>
      <c r="I80" s="40">
        <v>870.97999999999979</v>
      </c>
      <c r="J80" s="40">
        <v>10533.52</v>
      </c>
      <c r="K80" s="40">
        <v>8270.0583999999999</v>
      </c>
      <c r="L80" s="40">
        <f t="shared" si="16"/>
        <v>512330.11788000003</v>
      </c>
      <c r="N80" s="45"/>
      <c r="O80" s="54"/>
    </row>
    <row r="81" spans="1:15" s="104" customFormat="1" x14ac:dyDescent="0.3">
      <c r="A81" s="72" t="s">
        <v>68</v>
      </c>
      <c r="B81" s="40">
        <f>Base!B78-'WindMonitoring_BATS-BETS'!I81</f>
        <v>-2.2899999999999636</v>
      </c>
      <c r="C81" s="40">
        <f>Base!C78-'WindMonitoring_BATS-BETS'!J81</f>
        <v>242.73000000000138</v>
      </c>
      <c r="D81" s="40">
        <f>Base!D78-'WindMonitoring_BATS-BETS'!K81</f>
        <v>162.3141599999999</v>
      </c>
      <c r="E81" s="95" t="str">
        <f t="shared" si="17"/>
        <v>Y</v>
      </c>
      <c r="F81" s="52">
        <f t="shared" si="15"/>
        <v>10055.362211999995</v>
      </c>
      <c r="H81" s="72" t="s">
        <v>68</v>
      </c>
      <c r="I81" s="40">
        <v>995.86</v>
      </c>
      <c r="J81" s="40">
        <v>10986.460000000001</v>
      </c>
      <c r="K81" s="40">
        <v>8537.3891199999998</v>
      </c>
      <c r="L81" s="40">
        <f t="shared" si="16"/>
        <v>528891.25598400005</v>
      </c>
      <c r="N81" s="45"/>
      <c r="O81" s="54"/>
    </row>
    <row r="82" spans="1:15" s="104" customFormat="1" x14ac:dyDescent="0.3">
      <c r="A82" s="72" t="s">
        <v>69</v>
      </c>
      <c r="B82" s="40">
        <f>Base!B79-'WindMonitoring_BATS-BETS'!I82</f>
        <v>-25.430000000000064</v>
      </c>
      <c r="C82" s="40">
        <f>Base!C79-'WindMonitoring_BATS-BETS'!J82</f>
        <v>245.03000000000065</v>
      </c>
      <c r="D82" s="40">
        <f>Base!D79-'WindMonitoring_BATS-BETS'!K82</f>
        <v>241.13936000000103</v>
      </c>
      <c r="E82" s="95" t="str">
        <f t="shared" si="17"/>
        <v>Y</v>
      </c>
      <c r="F82" s="52">
        <f t="shared" si="15"/>
        <v>14938.583352000065</v>
      </c>
      <c r="H82" s="72" t="s">
        <v>69</v>
      </c>
      <c r="I82" s="40">
        <v>1125.1500000000001</v>
      </c>
      <c r="J82" s="40">
        <v>11257.039999999999</v>
      </c>
      <c r="K82" s="40">
        <v>8729.529919999999</v>
      </c>
      <c r="L82" s="40">
        <f t="shared" si="16"/>
        <v>540794.37854399998</v>
      </c>
      <c r="N82" s="39"/>
      <c r="O82" s="39"/>
    </row>
    <row r="83" spans="1:15" s="104" customFormat="1" x14ac:dyDescent="0.3">
      <c r="A83" s="72" t="s">
        <v>70</v>
      </c>
      <c r="B83" s="40">
        <f>Base!B80-'WindMonitoring_BATS-BETS'!I83</f>
        <v>-9.2400000000000091</v>
      </c>
      <c r="C83" s="40">
        <f>Base!C80-'WindMonitoring_BATS-BETS'!J83</f>
        <v>76.119999999997162</v>
      </c>
      <c r="D83" s="40">
        <f>Base!D80-'WindMonitoring_BATS-BETS'!K83</f>
        <v>128.86983999999757</v>
      </c>
      <c r="E83" s="95" t="str">
        <f t="shared" si="17"/>
        <v>Y</v>
      </c>
      <c r="F83" s="52">
        <f t="shared" si="15"/>
        <v>7983.4865879998497</v>
      </c>
      <c r="H83" s="72" t="s">
        <v>70</v>
      </c>
      <c r="I83" s="40">
        <v>1133.8899999999999</v>
      </c>
      <c r="J83" s="40">
        <v>12022.42</v>
      </c>
      <c r="K83" s="40">
        <v>9091.8563200000008</v>
      </c>
      <c r="L83" s="40">
        <f t="shared" si="16"/>
        <v>563240.49902400002</v>
      </c>
      <c r="N83" s="39"/>
      <c r="O83" s="39"/>
    </row>
    <row r="84" spans="1:15" s="104" customFormat="1" x14ac:dyDescent="0.3">
      <c r="A84" s="72" t="s">
        <v>71</v>
      </c>
      <c r="B84" s="40">
        <f>Base!B81-'WindMonitoring_BATS-BETS'!I84</f>
        <v>16.960000000000036</v>
      </c>
      <c r="C84" s="40">
        <f>Base!C81-'WindMonitoring_BATS-BETS'!J84</f>
        <v>127.75000000000182</v>
      </c>
      <c r="D84" s="40">
        <f>Base!D81-'WindMonitoring_BATS-BETS'!K84</f>
        <v>138.92776000000049</v>
      </c>
      <c r="E84" s="95" t="str">
        <f t="shared" si="17"/>
        <v>Y</v>
      </c>
      <c r="F84" s="52">
        <f t="shared" si="15"/>
        <v>8606.5747320000301</v>
      </c>
      <c r="H84" s="72" t="s">
        <v>71</v>
      </c>
      <c r="I84" s="40">
        <v>1286.02</v>
      </c>
      <c r="J84" s="40">
        <v>12594.320000000002</v>
      </c>
      <c r="K84" s="40">
        <v>9353.3960000000006</v>
      </c>
      <c r="L84" s="40">
        <f t="shared" si="16"/>
        <v>579442.88220000011</v>
      </c>
      <c r="N84" s="39"/>
      <c r="O84" s="39"/>
    </row>
    <row r="85" spans="1:15" s="104" customFormat="1" x14ac:dyDescent="0.3">
      <c r="A85" s="72" t="s">
        <v>72</v>
      </c>
      <c r="B85" s="40">
        <f>Base!B82-'WindMonitoring_BATS-BETS'!I85</f>
        <v>-10.460000000000036</v>
      </c>
      <c r="C85" s="40">
        <f>Base!C82-'WindMonitoring_BATS-BETS'!J85</f>
        <v>219.66999999999643</v>
      </c>
      <c r="D85" s="40">
        <f>Base!D82-'WindMonitoring_BATS-BETS'!K85</f>
        <v>156.11127999999917</v>
      </c>
      <c r="E85" s="95" t="str">
        <f t="shared" si="17"/>
        <v>Y</v>
      </c>
      <c r="F85" s="52">
        <f t="shared" si="15"/>
        <v>9671.0937959999483</v>
      </c>
      <c r="H85" s="72" t="s">
        <v>72</v>
      </c>
      <c r="I85" s="40">
        <v>1220.9300000000003</v>
      </c>
      <c r="J85" s="40">
        <v>13097.960000000003</v>
      </c>
      <c r="K85" s="40">
        <v>9639.86312</v>
      </c>
      <c r="L85" s="40">
        <f t="shared" si="16"/>
        <v>597189.52028399997</v>
      </c>
    </row>
    <row r="86" spans="1:15" s="104" customFormat="1" x14ac:dyDescent="0.3">
      <c r="A86" s="72" t="s">
        <v>73</v>
      </c>
      <c r="B86" s="40">
        <f>Base!B83-'WindMonitoring_BATS-BETS'!I86</f>
        <v>-3.0000000000200089E-2</v>
      </c>
      <c r="C86" s="40">
        <f>Base!C83-'WindMonitoring_BATS-BETS'!J86</f>
        <v>458.39999999999782</v>
      </c>
      <c r="D86" s="40">
        <f>Base!D83-'WindMonitoring_BATS-BETS'!K86</f>
        <v>267.63335999999981</v>
      </c>
      <c r="E86" s="95" t="str">
        <f t="shared" si="17"/>
        <v>Y</v>
      </c>
      <c r="F86" s="52">
        <f t="shared" si="15"/>
        <v>16579.88665199999</v>
      </c>
      <c r="H86" s="72" t="s">
        <v>73</v>
      </c>
      <c r="I86" s="40">
        <v>1403.75</v>
      </c>
      <c r="J86" s="40">
        <v>14481.91</v>
      </c>
      <c r="K86" s="40">
        <v>10235.078079999999</v>
      </c>
      <c r="L86" s="40">
        <f t="shared" si="16"/>
        <v>634063.08705600002</v>
      </c>
    </row>
    <row r="87" spans="1:15" s="104" customFormat="1" ht="15" thickBot="1" x14ac:dyDescent="0.35">
      <c r="E87" s="60">
        <f>COUNTIF(E77:E86,"Y")</f>
        <v>10</v>
      </c>
      <c r="F87" s="62">
        <f>-PV($G$6,$G$7-7,F86)</f>
        <v>158660.10380081536</v>
      </c>
      <c r="G87" s="55" t="s">
        <v>11</v>
      </c>
    </row>
    <row r="88" spans="1:15" s="104" customFormat="1" ht="15" thickTop="1" x14ac:dyDescent="0.3"/>
    <row r="89" spans="1:15" s="104" customFormat="1" ht="15.6" x14ac:dyDescent="0.3">
      <c r="A89" s="409" t="s">
        <v>53</v>
      </c>
      <c r="B89" s="410"/>
      <c r="C89" s="410"/>
      <c r="D89" s="410"/>
      <c r="E89" s="410"/>
      <c r="F89" s="411"/>
      <c r="H89" s="406" t="s">
        <v>63</v>
      </c>
      <c r="I89" s="406"/>
      <c r="J89" s="406"/>
      <c r="K89" s="406"/>
      <c r="L89" s="406"/>
    </row>
    <row r="90" spans="1:15" s="104" customFormat="1" ht="43.2" x14ac:dyDescent="0.3">
      <c r="A90" s="94" t="s">
        <v>5</v>
      </c>
      <c r="B90" s="51" t="s">
        <v>151</v>
      </c>
      <c r="C90" s="51" t="s">
        <v>152</v>
      </c>
      <c r="D90" s="51" t="s">
        <v>153</v>
      </c>
      <c r="E90" s="51" t="s">
        <v>12</v>
      </c>
      <c r="F90" s="51" t="s">
        <v>58</v>
      </c>
      <c r="H90" s="94" t="s">
        <v>5</v>
      </c>
      <c r="I90" s="51" t="s">
        <v>75</v>
      </c>
      <c r="J90" s="51" t="s">
        <v>51</v>
      </c>
      <c r="K90" s="50" t="s">
        <v>0</v>
      </c>
      <c r="L90" s="51" t="s">
        <v>58</v>
      </c>
    </row>
    <row r="91" spans="1:15" s="104" customFormat="1" x14ac:dyDescent="0.3">
      <c r="A91" s="72" t="s">
        <v>64</v>
      </c>
      <c r="B91" s="40">
        <f>Base!B88-'WindMonitoring_BATS-BETS'!I91</f>
        <v>35.340000000000032</v>
      </c>
      <c r="C91" s="40">
        <f>Base!C88-'WindMonitoring_BATS-BETS'!J91</f>
        <v>74.409999999999854</v>
      </c>
      <c r="D91" s="40">
        <f>Base!D88-'WindMonitoring_BATS-BETS'!K91</f>
        <v>36.324880000000121</v>
      </c>
      <c r="E91" s="95" t="str">
        <f>E35</f>
        <v>Y</v>
      </c>
      <c r="F91" s="52">
        <f t="shared" ref="F91:F100" si="18">IF(E91="Y",D91*$G$5,-D91*$G$5)</f>
        <v>2250.3263160000074</v>
      </c>
      <c r="H91" s="72" t="s">
        <v>64</v>
      </c>
      <c r="I91" s="40">
        <v>762.83</v>
      </c>
      <c r="J91" s="40">
        <v>10036.030000000002</v>
      </c>
      <c r="K91" s="40">
        <v>7943.0744799999993</v>
      </c>
      <c r="L91" s="40">
        <f t="shared" ref="L91:L100" si="19">K91*$G$5</f>
        <v>492073.46403599996</v>
      </c>
    </row>
    <row r="92" spans="1:15" s="104" customFormat="1" x14ac:dyDescent="0.3">
      <c r="A92" s="72" t="s">
        <v>65</v>
      </c>
      <c r="B92" s="40">
        <f>Base!B89-'WindMonitoring_BATS-BETS'!I92</f>
        <v>8.6299999999999955</v>
      </c>
      <c r="C92" s="40">
        <f>Base!C89-'WindMonitoring_BATS-BETS'!J92</f>
        <v>83.600000000000364</v>
      </c>
      <c r="D92" s="40">
        <f>Base!D89-'WindMonitoring_BATS-BETS'!K92</f>
        <v>111.6209600000002</v>
      </c>
      <c r="E92" s="95" t="str">
        <f t="shared" ref="E92:E100" si="20">E36</f>
        <v>Y</v>
      </c>
      <c r="F92" s="52">
        <f t="shared" si="18"/>
        <v>6914.9184720000121</v>
      </c>
      <c r="H92" s="72" t="s">
        <v>65</v>
      </c>
      <c r="I92" s="40">
        <v>755.32</v>
      </c>
      <c r="J92" s="40">
        <v>9633.3700000000008</v>
      </c>
      <c r="K92" s="40">
        <v>7560.8699199999992</v>
      </c>
      <c r="L92" s="40">
        <f t="shared" si="19"/>
        <v>468395.89154399995</v>
      </c>
    </row>
    <row r="93" spans="1:15" s="104" customFormat="1" x14ac:dyDescent="0.3">
      <c r="A93" s="72" t="s">
        <v>66</v>
      </c>
      <c r="B93" s="40">
        <f>Base!B90-'WindMonitoring_BATS-BETS'!I93</f>
        <v>4.1400000000001</v>
      </c>
      <c r="C93" s="40">
        <f>Base!C90-'WindMonitoring_BATS-BETS'!J93</f>
        <v>235.40999999999985</v>
      </c>
      <c r="D93" s="40">
        <f>Base!D90-'WindMonitoring_BATS-BETS'!K93</f>
        <v>221.57352000000083</v>
      </c>
      <c r="E93" s="95" t="str">
        <f t="shared" si="20"/>
        <v>Y</v>
      </c>
      <c r="F93" s="52">
        <f t="shared" si="18"/>
        <v>13726.479564000052</v>
      </c>
      <c r="H93" s="72" t="s">
        <v>66</v>
      </c>
      <c r="I93" s="40">
        <v>751.05</v>
      </c>
      <c r="J93" s="40">
        <v>9581.8300000000017</v>
      </c>
      <c r="K93" s="40">
        <v>7658.1834399999998</v>
      </c>
      <c r="L93" s="40">
        <f t="shared" si="19"/>
        <v>474424.46410799999</v>
      </c>
    </row>
    <row r="94" spans="1:15" s="104" customFormat="1" x14ac:dyDescent="0.3">
      <c r="A94" s="72" t="s">
        <v>67</v>
      </c>
      <c r="B94" s="40">
        <f>Base!B91-'WindMonitoring_BATS-BETS'!I94</f>
        <v>32.919999999999959</v>
      </c>
      <c r="C94" s="40">
        <f>Base!C91-'WindMonitoring_BATS-BETS'!J94</f>
        <v>276.59000000000015</v>
      </c>
      <c r="D94" s="40">
        <f>Base!D91-'WindMonitoring_BATS-BETS'!K94</f>
        <v>229.70048000000043</v>
      </c>
      <c r="E94" s="95" t="str">
        <f t="shared" si="20"/>
        <v>Y</v>
      </c>
      <c r="F94" s="52">
        <f t="shared" si="18"/>
        <v>14229.944736000027</v>
      </c>
      <c r="H94" s="72" t="s">
        <v>67</v>
      </c>
      <c r="I94" s="40">
        <v>767.74</v>
      </c>
      <c r="J94" s="40">
        <v>9674.61</v>
      </c>
      <c r="K94" s="40">
        <v>7682.4839999999995</v>
      </c>
      <c r="L94" s="40">
        <f t="shared" si="19"/>
        <v>475929.88380000001</v>
      </c>
    </row>
    <row r="95" spans="1:15" s="104" customFormat="1" x14ac:dyDescent="0.3">
      <c r="A95" s="72" t="s">
        <v>68</v>
      </c>
      <c r="B95" s="40">
        <f>Base!B92-'WindMonitoring_BATS-BETS'!I95</f>
        <v>47.239999999999895</v>
      </c>
      <c r="C95" s="40">
        <f>Base!C92-'WindMonitoring_BATS-BETS'!J95</f>
        <v>268.98999999999978</v>
      </c>
      <c r="D95" s="40">
        <f>Base!D92-'WindMonitoring_BATS-BETS'!K95</f>
        <v>281.58759999999893</v>
      </c>
      <c r="E95" s="95" t="str">
        <f t="shared" si="20"/>
        <v>Y</v>
      </c>
      <c r="F95" s="52">
        <f t="shared" si="18"/>
        <v>17444.351819999934</v>
      </c>
      <c r="H95" s="72" t="s">
        <v>68</v>
      </c>
      <c r="I95" s="40">
        <v>843.59</v>
      </c>
      <c r="J95" s="40">
        <v>10038.580000000002</v>
      </c>
      <c r="K95" s="40">
        <v>7820.9987200000014</v>
      </c>
      <c r="L95" s="40">
        <f t="shared" si="19"/>
        <v>484510.87070400012</v>
      </c>
    </row>
    <row r="96" spans="1:15" s="104" customFormat="1" x14ac:dyDescent="0.3">
      <c r="A96" s="72" t="s">
        <v>69</v>
      </c>
      <c r="B96" s="40">
        <f>Base!B93-'WindMonitoring_BATS-BETS'!I96</f>
        <v>40.6400000000001</v>
      </c>
      <c r="C96" s="40">
        <f>Base!C93-'WindMonitoring_BATS-BETS'!J96</f>
        <v>289.88999999999942</v>
      </c>
      <c r="D96" s="40">
        <f>Base!D93-'WindMonitoring_BATS-BETS'!K96</f>
        <v>249.54288000000088</v>
      </c>
      <c r="E96" s="95" t="str">
        <f t="shared" si="20"/>
        <v>Y</v>
      </c>
      <c r="F96" s="52">
        <f t="shared" si="18"/>
        <v>15459.181416000056</v>
      </c>
      <c r="H96" s="72" t="s">
        <v>69</v>
      </c>
      <c r="I96" s="40">
        <v>952.76</v>
      </c>
      <c r="J96" s="40">
        <v>10654.91</v>
      </c>
      <c r="K96" s="40">
        <v>8080.3433599999989</v>
      </c>
      <c r="L96" s="40">
        <f t="shared" si="19"/>
        <v>500577.27115199994</v>
      </c>
    </row>
    <row r="97" spans="1:12" s="104" customFormat="1" x14ac:dyDescent="0.3">
      <c r="A97" s="72" t="s">
        <v>70</v>
      </c>
      <c r="B97" s="40">
        <f>Base!B94-'WindMonitoring_BATS-BETS'!I97</f>
        <v>46.0300000000002</v>
      </c>
      <c r="C97" s="40">
        <f>Base!C94-'WindMonitoring_BATS-BETS'!J97</f>
        <v>367.84999999999854</v>
      </c>
      <c r="D97" s="40">
        <f>Base!D94-'WindMonitoring_BATS-BETS'!K97</f>
        <v>303.60920000000078</v>
      </c>
      <c r="E97" s="95" t="str">
        <f t="shared" si="20"/>
        <v>Y</v>
      </c>
      <c r="F97" s="52">
        <f t="shared" si="18"/>
        <v>18808.589940000049</v>
      </c>
      <c r="H97" s="72" t="s">
        <v>70</v>
      </c>
      <c r="I97" s="40">
        <v>1026.8499999999999</v>
      </c>
      <c r="J97" s="40">
        <v>11913.33</v>
      </c>
      <c r="K97" s="40">
        <v>8699.0558399999991</v>
      </c>
      <c r="L97" s="40">
        <f t="shared" si="19"/>
        <v>538906.50928799994</v>
      </c>
    </row>
    <row r="98" spans="1:12" s="104" customFormat="1" x14ac:dyDescent="0.3">
      <c r="A98" s="72" t="s">
        <v>71</v>
      </c>
      <c r="B98" s="40">
        <f>Base!B95-'WindMonitoring_BATS-BETS'!I98</f>
        <v>50.390000000000327</v>
      </c>
      <c r="C98" s="40">
        <f>Base!C95-'WindMonitoring_BATS-BETS'!J98</f>
        <v>429.75</v>
      </c>
      <c r="D98" s="40">
        <f>Base!D95-'WindMonitoring_BATS-BETS'!K98</f>
        <v>335.1775200000011</v>
      </c>
      <c r="E98" s="95" t="str">
        <f t="shared" si="20"/>
        <v>Y</v>
      </c>
      <c r="F98" s="52">
        <f t="shared" si="18"/>
        <v>20764.247364000068</v>
      </c>
      <c r="H98" s="72" t="s">
        <v>71</v>
      </c>
      <c r="I98" s="40">
        <v>1068.04</v>
      </c>
      <c r="J98" s="40">
        <v>13220.529999999999</v>
      </c>
      <c r="K98" s="40">
        <v>9182.2753599999978</v>
      </c>
      <c r="L98" s="40">
        <f t="shared" si="19"/>
        <v>568841.95855199988</v>
      </c>
    </row>
    <row r="99" spans="1:12" s="104" customFormat="1" x14ac:dyDescent="0.3">
      <c r="A99" s="72" t="s">
        <v>72</v>
      </c>
      <c r="B99" s="40">
        <f>Base!B96-'WindMonitoring_BATS-BETS'!I99</f>
        <v>37.439999999999827</v>
      </c>
      <c r="C99" s="40">
        <f>Base!C96-'WindMonitoring_BATS-BETS'!J99</f>
        <v>252.54000000000087</v>
      </c>
      <c r="D99" s="40">
        <f>Base!D96-'WindMonitoring_BATS-BETS'!K99</f>
        <v>258.30983999999808</v>
      </c>
      <c r="E99" s="95" t="str">
        <f t="shared" si="20"/>
        <v>Y</v>
      </c>
      <c r="F99" s="52">
        <f t="shared" si="18"/>
        <v>16002.294587999882</v>
      </c>
      <c r="H99" s="72" t="s">
        <v>72</v>
      </c>
      <c r="I99" s="40">
        <v>1034.25</v>
      </c>
      <c r="J99" s="40">
        <v>14585.68</v>
      </c>
      <c r="K99" s="40">
        <v>9503.3070399999997</v>
      </c>
      <c r="L99" s="40">
        <f t="shared" si="19"/>
        <v>588729.87112799997</v>
      </c>
    </row>
    <row r="100" spans="1:12" s="104" customFormat="1" x14ac:dyDescent="0.3">
      <c r="A100" s="72" t="s">
        <v>73</v>
      </c>
      <c r="B100" s="40">
        <f>Base!B97-'WindMonitoring_BATS-BETS'!I100</f>
        <v>40.079999999999927</v>
      </c>
      <c r="C100" s="40">
        <f>Base!C97-'WindMonitoring_BATS-BETS'!J100</f>
        <v>302.13000000000102</v>
      </c>
      <c r="D100" s="40">
        <f>Base!D97-'WindMonitoring_BATS-BETS'!K100</f>
        <v>261.87336000000141</v>
      </c>
      <c r="E100" s="95" t="str">
        <f t="shared" si="20"/>
        <v>Y</v>
      </c>
      <c r="F100" s="52">
        <f t="shared" si="18"/>
        <v>16223.054652000088</v>
      </c>
      <c r="H100" s="72" t="s">
        <v>73</v>
      </c>
      <c r="I100" s="40">
        <v>1142.6399999999999</v>
      </c>
      <c r="J100" s="40">
        <v>16907.759999999998</v>
      </c>
      <c r="K100" s="40">
        <v>10436.164079999999</v>
      </c>
      <c r="L100" s="40">
        <f t="shared" si="19"/>
        <v>646520.364756</v>
      </c>
    </row>
    <row r="101" spans="1:12" s="104" customFormat="1" ht="15" thickBot="1" x14ac:dyDescent="0.35">
      <c r="E101" s="60">
        <f>COUNTIF(E91:E100,"Y")</f>
        <v>10</v>
      </c>
      <c r="F101" s="62">
        <f>-PV($G$6,$G$7-7,F100)</f>
        <v>155245.42411405116</v>
      </c>
      <c r="G101" s="55" t="s">
        <v>11</v>
      </c>
    </row>
    <row r="102" spans="1:12" ht="15" thickTop="1" x14ac:dyDescent="0.3"/>
  </sheetData>
  <mergeCells count="12">
    <mergeCell ref="A15:I15"/>
    <mergeCell ref="M15:Q15"/>
    <mergeCell ref="A33:F33"/>
    <mergeCell ref="H33:L33"/>
    <mergeCell ref="A47:F47"/>
    <mergeCell ref="H47:L47"/>
    <mergeCell ref="A61:F61"/>
    <mergeCell ref="H61:L61"/>
    <mergeCell ref="A75:F75"/>
    <mergeCell ref="H75:L75"/>
    <mergeCell ref="A89:F89"/>
    <mergeCell ref="H89:L89"/>
  </mergeCells>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99"/>
  <sheetViews>
    <sheetView zoomScale="70" zoomScaleNormal="70" workbookViewId="0">
      <selection activeCell="I33" sqref="I33"/>
    </sheetView>
  </sheetViews>
  <sheetFormatPr defaultRowHeight="14.4" x14ac:dyDescent="0.3"/>
  <cols>
    <col min="1" max="1" width="38.77734375" style="116" customWidth="1"/>
    <col min="2" max="7" width="15.77734375" style="116" customWidth="1"/>
    <col min="8" max="12" width="10.77734375" style="116" customWidth="1"/>
    <col min="13" max="16384" width="8.88671875" style="116"/>
  </cols>
  <sheetData>
    <row r="2" spans="1:13" x14ac:dyDescent="0.3">
      <c r="A2" s="118" t="s">
        <v>74</v>
      </c>
    </row>
    <row r="3" spans="1:13" x14ac:dyDescent="0.3">
      <c r="A3" s="118"/>
    </row>
    <row r="5" spans="1:13" x14ac:dyDescent="0.3">
      <c r="A5" s="65" t="s">
        <v>3</v>
      </c>
      <c r="B5" s="119">
        <v>61.95</v>
      </c>
      <c r="C5" s="71"/>
      <c r="D5" s="71"/>
    </row>
    <row r="6" spans="1:13" x14ac:dyDescent="0.3">
      <c r="A6" s="66" t="s">
        <v>2</v>
      </c>
      <c r="B6" s="120">
        <v>0.1</v>
      </c>
      <c r="C6" s="115"/>
      <c r="D6" s="115"/>
    </row>
    <row r="7" spans="1:13" x14ac:dyDescent="0.3">
      <c r="A7" s="66" t="s">
        <v>1</v>
      </c>
      <c r="B7" s="121">
        <v>40</v>
      </c>
      <c r="C7" s="114"/>
      <c r="D7" s="114"/>
    </row>
    <row r="8" spans="1:13" x14ac:dyDescent="0.3">
      <c r="A8" s="66" t="s">
        <v>6</v>
      </c>
      <c r="B8" s="120">
        <v>0.2</v>
      </c>
      <c r="C8" s="70"/>
      <c r="D8" s="70"/>
    </row>
    <row r="9" spans="1:13" x14ac:dyDescent="0.3">
      <c r="A9" s="66" t="s">
        <v>7</v>
      </c>
      <c r="B9" s="120">
        <v>0.2</v>
      </c>
      <c r="C9" s="70"/>
      <c r="D9" s="70"/>
    </row>
    <row r="10" spans="1:13" x14ac:dyDescent="0.3">
      <c r="A10" s="66" t="s">
        <v>8</v>
      </c>
      <c r="B10" s="120">
        <v>0.2</v>
      </c>
      <c r="C10" s="70"/>
      <c r="D10" s="70"/>
    </row>
    <row r="11" spans="1:13" x14ac:dyDescent="0.3">
      <c r="A11" s="66" t="s">
        <v>9</v>
      </c>
      <c r="B11" s="120">
        <v>0.2</v>
      </c>
      <c r="C11" s="39"/>
      <c r="D11" s="39"/>
    </row>
    <row r="12" spans="1:13" x14ac:dyDescent="0.3">
      <c r="A12" s="67" t="s">
        <v>10</v>
      </c>
      <c r="B12" s="122">
        <v>0.2</v>
      </c>
      <c r="C12" s="39"/>
      <c r="D12" s="39"/>
    </row>
    <row r="13" spans="1:13" x14ac:dyDescent="0.3">
      <c r="A13" s="124"/>
      <c r="B13" s="47"/>
      <c r="C13" s="39"/>
      <c r="D13" s="39"/>
    </row>
    <row r="15" spans="1:13" ht="15.6" x14ac:dyDescent="0.3">
      <c r="A15" s="397" t="s">
        <v>57</v>
      </c>
      <c r="B15" s="397"/>
      <c r="C15" s="397"/>
      <c r="D15" s="397"/>
      <c r="E15" s="397"/>
      <c r="H15" s="407"/>
      <c r="I15" s="407"/>
      <c r="J15" s="407"/>
      <c r="K15" s="407"/>
      <c r="L15" s="407"/>
      <c r="M15" s="124"/>
    </row>
    <row r="16" spans="1:13" s="123" customFormat="1" ht="43.2" x14ac:dyDescent="0.3">
      <c r="A16" s="117" t="s">
        <v>5</v>
      </c>
      <c r="B16" s="51" t="s">
        <v>75</v>
      </c>
      <c r="C16" s="51" t="s">
        <v>51</v>
      </c>
      <c r="D16" s="50" t="s">
        <v>0</v>
      </c>
      <c r="E16" s="51" t="s">
        <v>76</v>
      </c>
      <c r="F16" s="35"/>
      <c r="H16" s="36"/>
      <c r="I16" s="37"/>
      <c r="J16" s="37"/>
      <c r="K16" s="37"/>
      <c r="L16" s="38"/>
      <c r="M16" s="39"/>
    </row>
    <row r="17" spans="1:13" s="123" customFormat="1" x14ac:dyDescent="0.3">
      <c r="A17" s="72" t="s">
        <v>64</v>
      </c>
      <c r="B17" s="40">
        <f>MAX(B32,B46,B60,B74,B88)</f>
        <v>803.98</v>
      </c>
      <c r="C17" s="40">
        <f>MAX(C32,C46,C60,C74,C88)</f>
        <v>10246.210000000003</v>
      </c>
      <c r="D17" s="40">
        <f>$B$8*D32+$B$9*D46+$B$10*D60+$B$11*D74+$B$12*D88</f>
        <v>7993.9676960000015</v>
      </c>
      <c r="E17" s="41">
        <f t="shared" ref="E17:E26" si="0">D17*$B$5/1000</f>
        <v>495.22629876720009</v>
      </c>
      <c r="F17" s="43"/>
      <c r="H17" s="44"/>
      <c r="I17" s="45"/>
      <c r="J17" s="45"/>
      <c r="K17" s="45"/>
      <c r="L17" s="33"/>
      <c r="M17" s="39"/>
    </row>
    <row r="18" spans="1:13" s="123" customFormat="1" x14ac:dyDescent="0.3">
      <c r="A18" s="72" t="s">
        <v>65</v>
      </c>
      <c r="B18" s="40">
        <f t="shared" ref="B18:C26" si="1">MAX(B33,B47,B61,B75,B89)</f>
        <v>851.1400000000001</v>
      </c>
      <c r="C18" s="40">
        <f t="shared" si="1"/>
        <v>10320.66</v>
      </c>
      <c r="D18" s="40">
        <f t="shared" ref="D18:D26" si="2">$B$8*D33+$B$9*D47+$B$10*D61+$B$11*D75+$B$12*D89</f>
        <v>7884.8151519999992</v>
      </c>
      <c r="E18" s="41">
        <f t="shared" si="0"/>
        <v>488.46429866639994</v>
      </c>
      <c r="F18" s="43"/>
      <c r="H18" s="44"/>
      <c r="I18" s="45"/>
      <c r="J18" s="45"/>
      <c r="K18" s="45"/>
      <c r="L18" s="33"/>
      <c r="M18" s="39"/>
    </row>
    <row r="19" spans="1:13" s="123" customFormat="1" x14ac:dyDescent="0.3">
      <c r="A19" s="72" t="s">
        <v>66</v>
      </c>
      <c r="B19" s="40">
        <f t="shared" si="1"/>
        <v>940.06000000000006</v>
      </c>
      <c r="C19" s="40">
        <f t="shared" si="1"/>
        <v>10866.940000000002</v>
      </c>
      <c r="D19" s="40">
        <f t="shared" si="2"/>
        <v>8079.6946879999996</v>
      </c>
      <c r="E19" s="41">
        <f t="shared" si="0"/>
        <v>500.53708592160001</v>
      </c>
      <c r="F19" s="43"/>
      <c r="H19" s="44"/>
      <c r="I19" s="45"/>
      <c r="J19" s="45"/>
      <c r="K19" s="45"/>
      <c r="L19" s="33"/>
      <c r="M19" s="39"/>
    </row>
    <row r="20" spans="1:13" s="123" customFormat="1" x14ac:dyDescent="0.3">
      <c r="A20" s="72" t="s">
        <v>67</v>
      </c>
      <c r="B20" s="40">
        <f t="shared" si="1"/>
        <v>1056.25</v>
      </c>
      <c r="C20" s="40">
        <f t="shared" si="1"/>
        <v>11696.080000000002</v>
      </c>
      <c r="D20" s="40">
        <f t="shared" si="2"/>
        <v>8294.7562720000024</v>
      </c>
      <c r="E20" s="41">
        <f t="shared" si="0"/>
        <v>513.86015105040019</v>
      </c>
      <c r="F20" s="43"/>
      <c r="H20" s="44"/>
      <c r="I20" s="45"/>
      <c r="J20" s="45"/>
      <c r="K20" s="45"/>
      <c r="L20" s="33"/>
      <c r="M20" s="39"/>
    </row>
    <row r="21" spans="1:13" s="123" customFormat="1" x14ac:dyDescent="0.3">
      <c r="A21" s="72" t="s">
        <v>68</v>
      </c>
      <c r="B21" s="40">
        <f t="shared" si="1"/>
        <v>1155.6000000000001</v>
      </c>
      <c r="C21" s="40">
        <f t="shared" si="1"/>
        <v>12492.499999999998</v>
      </c>
      <c r="D21" s="40">
        <f t="shared" si="2"/>
        <v>8531.9990399999988</v>
      </c>
      <c r="E21" s="41">
        <f t="shared" si="0"/>
        <v>528.55734052799994</v>
      </c>
      <c r="F21" s="43"/>
      <c r="H21" s="44"/>
      <c r="I21" s="45"/>
      <c r="J21" s="45"/>
      <c r="K21" s="45"/>
      <c r="L21" s="33"/>
      <c r="M21" s="39"/>
    </row>
    <row r="22" spans="1:13" s="123" customFormat="1" x14ac:dyDescent="0.3">
      <c r="A22" s="72" t="s">
        <v>69</v>
      </c>
      <c r="B22" s="40">
        <f t="shared" si="1"/>
        <v>1383.41</v>
      </c>
      <c r="C22" s="40">
        <f t="shared" si="1"/>
        <v>13308.39</v>
      </c>
      <c r="D22" s="40">
        <f t="shared" si="2"/>
        <v>8856.9168959999988</v>
      </c>
      <c r="E22" s="41">
        <f t="shared" si="0"/>
        <v>548.68600170719992</v>
      </c>
      <c r="F22" s="43"/>
      <c r="H22" s="44"/>
      <c r="I22" s="45"/>
      <c r="J22" s="45"/>
      <c r="K22" s="45"/>
      <c r="L22" s="33"/>
      <c r="M22" s="39"/>
    </row>
    <row r="23" spans="1:13" s="123" customFormat="1" x14ac:dyDescent="0.3">
      <c r="A23" s="72" t="s">
        <v>70</v>
      </c>
      <c r="B23" s="40">
        <f t="shared" si="1"/>
        <v>1403.76</v>
      </c>
      <c r="C23" s="40">
        <f t="shared" si="1"/>
        <v>14677.969999999996</v>
      </c>
      <c r="D23" s="40">
        <f t="shared" si="2"/>
        <v>9323.8708159999987</v>
      </c>
      <c r="E23" s="41">
        <f t="shared" si="0"/>
        <v>577.61379705119998</v>
      </c>
      <c r="F23" s="43"/>
      <c r="H23" s="44"/>
      <c r="I23" s="45"/>
      <c r="J23" s="45"/>
      <c r="K23" s="45"/>
      <c r="L23" s="33"/>
      <c r="M23" s="39"/>
    </row>
    <row r="24" spans="1:13" s="123" customFormat="1" x14ac:dyDescent="0.3">
      <c r="A24" s="72" t="s">
        <v>71</v>
      </c>
      <c r="B24" s="40">
        <f t="shared" si="1"/>
        <v>1441.51</v>
      </c>
      <c r="C24" s="40">
        <f t="shared" si="1"/>
        <v>16517.379999999997</v>
      </c>
      <c r="D24" s="40">
        <f t="shared" si="2"/>
        <v>9778.9605439999996</v>
      </c>
      <c r="E24" s="41">
        <f t="shared" si="0"/>
        <v>605.80660570079999</v>
      </c>
      <c r="F24" s="43"/>
      <c r="H24" s="44"/>
      <c r="I24" s="45"/>
      <c r="J24" s="45"/>
      <c r="K24" s="45"/>
      <c r="L24" s="33"/>
      <c r="M24" s="39"/>
    </row>
    <row r="25" spans="1:13" s="123" customFormat="1" x14ac:dyDescent="0.3">
      <c r="A25" s="72" t="s">
        <v>72</v>
      </c>
      <c r="B25" s="40">
        <f t="shared" si="1"/>
        <v>1665.9</v>
      </c>
      <c r="C25" s="40">
        <f t="shared" si="1"/>
        <v>19165.230000000003</v>
      </c>
      <c r="D25" s="40">
        <f t="shared" si="2"/>
        <v>10140.8248</v>
      </c>
      <c r="E25" s="41">
        <f t="shared" si="0"/>
        <v>628.22409636000009</v>
      </c>
      <c r="F25" s="43"/>
      <c r="H25" s="44"/>
      <c r="I25" s="45"/>
      <c r="J25" s="45"/>
      <c r="K25" s="45"/>
      <c r="L25" s="33"/>
      <c r="M25" s="39"/>
    </row>
    <row r="26" spans="1:13" s="123" customFormat="1" x14ac:dyDescent="0.3">
      <c r="A26" s="72" t="s">
        <v>73</v>
      </c>
      <c r="B26" s="40">
        <f t="shared" si="1"/>
        <v>1949.83</v>
      </c>
      <c r="C26" s="40">
        <f t="shared" si="1"/>
        <v>23157.040000000001</v>
      </c>
      <c r="D26" s="40">
        <f t="shared" si="2"/>
        <v>11085.635184000001</v>
      </c>
      <c r="E26" s="41">
        <f t="shared" si="0"/>
        <v>686.75509964880007</v>
      </c>
      <c r="F26" s="43"/>
      <c r="H26" s="44"/>
      <c r="I26" s="45"/>
      <c r="J26" s="45"/>
      <c r="K26" s="45"/>
      <c r="L26" s="33"/>
      <c r="M26" s="39"/>
    </row>
    <row r="27" spans="1:13" s="123" customFormat="1" x14ac:dyDescent="0.3">
      <c r="F27" s="47"/>
      <c r="G27" s="39"/>
      <c r="H27" s="39"/>
      <c r="L27" s="45"/>
    </row>
    <row r="28" spans="1:13" s="132" customFormat="1" x14ac:dyDescent="0.3">
      <c r="F28" s="47"/>
      <c r="G28" s="39"/>
      <c r="H28" s="39"/>
      <c r="L28" s="45"/>
    </row>
    <row r="29" spans="1:13" s="123" customFormat="1" x14ac:dyDescent="0.3"/>
    <row r="30" spans="1:13" s="123" customFormat="1" ht="15.6" x14ac:dyDescent="0.3">
      <c r="A30" s="406" t="s">
        <v>59</v>
      </c>
      <c r="B30" s="406"/>
      <c r="C30" s="406"/>
      <c r="D30" s="406"/>
      <c r="E30" s="406"/>
    </row>
    <row r="31" spans="1:13" s="123" customFormat="1" ht="43.2" x14ac:dyDescent="0.3">
      <c r="A31" s="117" t="s">
        <v>5</v>
      </c>
      <c r="B31" s="51" t="s">
        <v>75</v>
      </c>
      <c r="C31" s="51" t="s">
        <v>51</v>
      </c>
      <c r="D31" s="50" t="s">
        <v>0</v>
      </c>
      <c r="E31" s="51" t="s">
        <v>58</v>
      </c>
    </row>
    <row r="32" spans="1:13" s="123" customFormat="1" x14ac:dyDescent="0.3">
      <c r="A32" s="72" t="s">
        <v>64</v>
      </c>
      <c r="B32" s="40">
        <v>799.79000000000008</v>
      </c>
      <c r="C32" s="40">
        <v>10241.840000000002</v>
      </c>
      <c r="D32" s="40">
        <v>8085.5554400000001</v>
      </c>
      <c r="E32" s="40">
        <f t="shared" ref="E32:E41" si="3">D32*$B$5</f>
        <v>500900.15950800001</v>
      </c>
      <c r="I32" s="53"/>
    </row>
    <row r="33" spans="1:5" s="123" customFormat="1" x14ac:dyDescent="0.3">
      <c r="A33" s="72" t="s">
        <v>65</v>
      </c>
      <c r="B33" s="40">
        <v>850.1400000000001</v>
      </c>
      <c r="C33" s="40">
        <v>10152.530000000001</v>
      </c>
      <c r="D33" s="40">
        <v>7984.9284799999996</v>
      </c>
      <c r="E33" s="40">
        <f t="shared" si="3"/>
        <v>494666.31933600002</v>
      </c>
    </row>
    <row r="34" spans="1:5" s="123" customFormat="1" x14ac:dyDescent="0.3">
      <c r="A34" s="72" t="s">
        <v>66</v>
      </c>
      <c r="B34" s="40">
        <v>940.06000000000006</v>
      </c>
      <c r="C34" s="40">
        <v>10460.36</v>
      </c>
      <c r="D34" s="40">
        <v>8228.7403999999988</v>
      </c>
      <c r="E34" s="40">
        <f t="shared" si="3"/>
        <v>509770.46777999995</v>
      </c>
    </row>
    <row r="35" spans="1:5" s="123" customFormat="1" x14ac:dyDescent="0.3">
      <c r="A35" s="72" t="s">
        <v>67</v>
      </c>
      <c r="B35" s="40">
        <v>992.56000000000006</v>
      </c>
      <c r="C35" s="40">
        <v>10706.150000000001</v>
      </c>
      <c r="D35" s="40">
        <v>8327.57</v>
      </c>
      <c r="E35" s="40">
        <f t="shared" si="3"/>
        <v>515892.96150000003</v>
      </c>
    </row>
    <row r="36" spans="1:5" s="123" customFormat="1" x14ac:dyDescent="0.3">
      <c r="A36" s="72" t="s">
        <v>68</v>
      </c>
      <c r="B36" s="40">
        <v>1129.94</v>
      </c>
      <c r="C36" s="40">
        <v>11057.289999999999</v>
      </c>
      <c r="D36" s="40">
        <v>8459.630079999999</v>
      </c>
      <c r="E36" s="40">
        <f t="shared" si="3"/>
        <v>524074.08345599996</v>
      </c>
    </row>
    <row r="37" spans="1:5" s="123" customFormat="1" x14ac:dyDescent="0.3">
      <c r="A37" s="72" t="s">
        <v>69</v>
      </c>
      <c r="B37" s="40">
        <v>1168.8100000000002</v>
      </c>
      <c r="C37" s="40">
        <v>11717.319999999998</v>
      </c>
      <c r="D37" s="40">
        <v>8880.9320799999987</v>
      </c>
      <c r="E37" s="40">
        <f t="shared" si="3"/>
        <v>550173.74235599989</v>
      </c>
    </row>
    <row r="38" spans="1:5" s="123" customFormat="1" x14ac:dyDescent="0.3">
      <c r="A38" s="72" t="s">
        <v>70</v>
      </c>
      <c r="B38" s="40">
        <v>1216.3499999999999</v>
      </c>
      <c r="C38" s="40">
        <v>13109.23</v>
      </c>
      <c r="D38" s="40">
        <v>9470.4515200000005</v>
      </c>
      <c r="E38" s="40">
        <f t="shared" si="3"/>
        <v>586694.47166400007</v>
      </c>
    </row>
    <row r="39" spans="1:5" s="123" customFormat="1" x14ac:dyDescent="0.3">
      <c r="A39" s="72" t="s">
        <v>71</v>
      </c>
      <c r="B39" s="40">
        <v>1272.21</v>
      </c>
      <c r="C39" s="40">
        <v>14472.409999999998</v>
      </c>
      <c r="D39" s="40">
        <v>10004.820799999998</v>
      </c>
      <c r="E39" s="40">
        <f t="shared" si="3"/>
        <v>619798.64855999989</v>
      </c>
    </row>
    <row r="40" spans="1:5" s="123" customFormat="1" x14ac:dyDescent="0.3">
      <c r="A40" s="72" t="s">
        <v>72</v>
      </c>
      <c r="B40" s="40">
        <v>1308.93</v>
      </c>
      <c r="C40" s="40">
        <v>15601.269999999999</v>
      </c>
      <c r="D40" s="40">
        <v>10265.37904</v>
      </c>
      <c r="E40" s="40">
        <f t="shared" si="3"/>
        <v>635940.23152799997</v>
      </c>
    </row>
    <row r="41" spans="1:5" s="123" customFormat="1" x14ac:dyDescent="0.3">
      <c r="A41" s="72" t="s">
        <v>73</v>
      </c>
      <c r="B41" s="40">
        <v>1433.2799999999997</v>
      </c>
      <c r="C41" s="40">
        <v>18063.52</v>
      </c>
      <c r="D41" s="40">
        <v>11296.91056</v>
      </c>
      <c r="E41" s="40">
        <f t="shared" si="3"/>
        <v>699843.609192</v>
      </c>
    </row>
    <row r="42" spans="1:5" s="123" customFormat="1" x14ac:dyDescent="0.3"/>
    <row r="43" spans="1:5" s="123" customFormat="1" x14ac:dyDescent="0.3"/>
    <row r="44" spans="1:5" s="123" customFormat="1" ht="15.6" x14ac:dyDescent="0.3">
      <c r="A44" s="406" t="s">
        <v>60</v>
      </c>
      <c r="B44" s="406"/>
      <c r="C44" s="406"/>
      <c r="D44" s="406"/>
      <c r="E44" s="406"/>
    </row>
    <row r="45" spans="1:5" s="123" customFormat="1" ht="43.2" x14ac:dyDescent="0.3">
      <c r="A45" s="117" t="s">
        <v>5</v>
      </c>
      <c r="B45" s="51" t="s">
        <v>75</v>
      </c>
      <c r="C45" s="51" t="s">
        <v>51</v>
      </c>
      <c r="D45" s="50" t="s">
        <v>0</v>
      </c>
      <c r="E45" s="51" t="s">
        <v>58</v>
      </c>
    </row>
    <row r="46" spans="1:5" s="123" customFormat="1" x14ac:dyDescent="0.3">
      <c r="A46" s="72" t="s">
        <v>64</v>
      </c>
      <c r="B46" s="40">
        <v>803.98</v>
      </c>
      <c r="C46" s="40">
        <v>10246.210000000003</v>
      </c>
      <c r="D46" s="40">
        <v>8087.5868800000007</v>
      </c>
      <c r="E46" s="40">
        <f t="shared" ref="E46:E55" si="4">D46*$B$5</f>
        <v>501026.00721600006</v>
      </c>
    </row>
    <row r="47" spans="1:5" s="123" customFormat="1" x14ac:dyDescent="0.3">
      <c r="A47" s="72" t="s">
        <v>65</v>
      </c>
      <c r="B47" s="40">
        <v>851.1400000000001</v>
      </c>
      <c r="C47" s="40">
        <v>10320.66</v>
      </c>
      <c r="D47" s="40">
        <v>8049.3405599999987</v>
      </c>
      <c r="E47" s="40">
        <f t="shared" si="4"/>
        <v>498656.64769199997</v>
      </c>
    </row>
    <row r="48" spans="1:5" s="123" customFormat="1" x14ac:dyDescent="0.3">
      <c r="A48" s="72" t="s">
        <v>66</v>
      </c>
      <c r="B48" s="40">
        <v>939.34000000000015</v>
      </c>
      <c r="C48" s="40">
        <v>10866.940000000002</v>
      </c>
      <c r="D48" s="40">
        <v>8388.9085599999999</v>
      </c>
      <c r="E48" s="40">
        <f t="shared" si="4"/>
        <v>519692.88529200002</v>
      </c>
    </row>
    <row r="49" spans="1:5" s="123" customFormat="1" x14ac:dyDescent="0.3">
      <c r="A49" s="72" t="s">
        <v>67</v>
      </c>
      <c r="B49" s="40">
        <v>1056.25</v>
      </c>
      <c r="C49" s="40">
        <v>11696.080000000002</v>
      </c>
      <c r="D49" s="40">
        <v>8885.7642400000004</v>
      </c>
      <c r="E49" s="40">
        <f t="shared" si="4"/>
        <v>550473.09466800001</v>
      </c>
    </row>
    <row r="50" spans="1:5" s="123" customFormat="1" x14ac:dyDescent="0.3">
      <c r="A50" s="72" t="s">
        <v>68</v>
      </c>
      <c r="B50" s="40">
        <v>1155.6000000000001</v>
      </c>
      <c r="C50" s="40">
        <v>12492.499999999998</v>
      </c>
      <c r="D50" s="40">
        <v>9310.5828799999981</v>
      </c>
      <c r="E50" s="40">
        <f t="shared" si="4"/>
        <v>576790.60941599996</v>
      </c>
    </row>
    <row r="51" spans="1:5" s="123" customFormat="1" x14ac:dyDescent="0.3">
      <c r="A51" s="72" t="s">
        <v>69</v>
      </c>
      <c r="B51" s="40">
        <v>1383.41</v>
      </c>
      <c r="C51" s="40">
        <v>13308.39</v>
      </c>
      <c r="D51" s="40">
        <v>9807.9693599999991</v>
      </c>
      <c r="E51" s="40">
        <f t="shared" si="4"/>
        <v>607603.70185199997</v>
      </c>
    </row>
    <row r="52" spans="1:5" s="123" customFormat="1" x14ac:dyDescent="0.3">
      <c r="A52" s="72" t="s">
        <v>70</v>
      </c>
      <c r="B52" s="40">
        <v>1403.76</v>
      </c>
      <c r="C52" s="40">
        <v>14677.969999999996</v>
      </c>
      <c r="D52" s="40">
        <v>10394.577199999998</v>
      </c>
      <c r="E52" s="40">
        <f t="shared" si="4"/>
        <v>643944.05753999995</v>
      </c>
    </row>
    <row r="53" spans="1:5" s="123" customFormat="1" x14ac:dyDescent="0.3">
      <c r="A53" s="72" t="s">
        <v>71</v>
      </c>
      <c r="B53" s="40">
        <v>1441.51</v>
      </c>
      <c r="C53" s="40">
        <v>16517.379999999997</v>
      </c>
      <c r="D53" s="40">
        <v>11116.058079999999</v>
      </c>
      <c r="E53" s="40">
        <f t="shared" si="4"/>
        <v>688639.79805599991</v>
      </c>
    </row>
    <row r="54" spans="1:5" s="123" customFormat="1" x14ac:dyDescent="0.3">
      <c r="A54" s="72" t="s">
        <v>72</v>
      </c>
      <c r="B54" s="40">
        <v>1665.9</v>
      </c>
      <c r="C54" s="40">
        <v>19165.230000000003</v>
      </c>
      <c r="D54" s="40">
        <v>12314.202719999999</v>
      </c>
      <c r="E54" s="40">
        <f t="shared" si="4"/>
        <v>762864.858504</v>
      </c>
    </row>
    <row r="55" spans="1:5" s="123" customFormat="1" x14ac:dyDescent="0.3">
      <c r="A55" s="72" t="s">
        <v>73</v>
      </c>
      <c r="B55" s="40">
        <v>1949.83</v>
      </c>
      <c r="C55" s="40">
        <v>23157.040000000001</v>
      </c>
      <c r="D55" s="40">
        <v>13992.32776</v>
      </c>
      <c r="E55" s="40">
        <f t="shared" si="4"/>
        <v>866824.70473200001</v>
      </c>
    </row>
    <row r="56" spans="1:5" s="123" customFormat="1" x14ac:dyDescent="0.3"/>
    <row r="57" spans="1:5" s="123" customFormat="1" x14ac:dyDescent="0.3"/>
    <row r="58" spans="1:5" s="123" customFormat="1" ht="15.6" x14ac:dyDescent="0.3">
      <c r="A58" s="406" t="s">
        <v>61</v>
      </c>
      <c r="B58" s="406"/>
      <c r="C58" s="406"/>
      <c r="D58" s="406"/>
      <c r="E58" s="406"/>
    </row>
    <row r="59" spans="1:5" s="123" customFormat="1" ht="43.2" x14ac:dyDescent="0.3">
      <c r="A59" s="117" t="s">
        <v>5</v>
      </c>
      <c r="B59" s="51" t="s">
        <v>75</v>
      </c>
      <c r="C59" s="51" t="s">
        <v>51</v>
      </c>
      <c r="D59" s="50" t="s">
        <v>0</v>
      </c>
      <c r="E59" s="51" t="s">
        <v>58</v>
      </c>
    </row>
    <row r="60" spans="1:5" s="123" customFormat="1" x14ac:dyDescent="0.3">
      <c r="A60" s="72" t="s">
        <v>64</v>
      </c>
      <c r="B60" s="40">
        <v>766.4799999999999</v>
      </c>
      <c r="C60" s="40">
        <v>9938.08</v>
      </c>
      <c r="D60" s="40">
        <v>7908.6484</v>
      </c>
      <c r="E60" s="40">
        <f t="shared" ref="E60:E69" si="5">D60*$B$5</f>
        <v>489940.76838000002</v>
      </c>
    </row>
    <row r="61" spans="1:5" s="123" customFormat="1" x14ac:dyDescent="0.3">
      <c r="A61" s="72" t="s">
        <v>65</v>
      </c>
      <c r="B61" s="40">
        <v>799.54</v>
      </c>
      <c r="C61" s="40">
        <v>9813.41</v>
      </c>
      <c r="D61" s="40">
        <v>7830.4363999999996</v>
      </c>
      <c r="E61" s="40">
        <f t="shared" si="5"/>
        <v>485095.53498</v>
      </c>
    </row>
    <row r="62" spans="1:5" s="123" customFormat="1" x14ac:dyDescent="0.3">
      <c r="A62" s="72" t="s">
        <v>66</v>
      </c>
      <c r="B62" s="40">
        <v>825.41000000000008</v>
      </c>
      <c r="C62" s="40">
        <v>9847.61</v>
      </c>
      <c r="D62" s="40">
        <v>7887.2216000000008</v>
      </c>
      <c r="E62" s="40">
        <f t="shared" si="5"/>
        <v>488613.37812000007</v>
      </c>
    </row>
    <row r="63" spans="1:5" s="123" customFormat="1" x14ac:dyDescent="0.3">
      <c r="A63" s="72" t="s">
        <v>67</v>
      </c>
      <c r="B63" s="40">
        <v>852.89</v>
      </c>
      <c r="C63" s="40">
        <v>9952.220000000003</v>
      </c>
      <c r="D63" s="40">
        <v>7948.3524800000005</v>
      </c>
      <c r="E63" s="40">
        <f t="shared" si="5"/>
        <v>492400.43613600003</v>
      </c>
    </row>
    <row r="64" spans="1:5" s="123" customFormat="1" x14ac:dyDescent="0.3">
      <c r="A64" s="72" t="s">
        <v>68</v>
      </c>
      <c r="B64" s="40">
        <v>965.70000000000016</v>
      </c>
      <c r="C64" s="40">
        <v>10247.640000000001</v>
      </c>
      <c r="D64" s="40">
        <v>8087.4926399999986</v>
      </c>
      <c r="E64" s="40">
        <f t="shared" si="5"/>
        <v>501020.16904799995</v>
      </c>
    </row>
    <row r="65" spans="1:10" s="123" customFormat="1" x14ac:dyDescent="0.3">
      <c r="A65" s="72" t="s">
        <v>69</v>
      </c>
      <c r="B65" s="40">
        <v>1006.3799999999999</v>
      </c>
      <c r="C65" s="40">
        <v>10522.94</v>
      </c>
      <c r="D65" s="40">
        <v>8295.1275199999982</v>
      </c>
      <c r="E65" s="40">
        <f t="shared" si="5"/>
        <v>513883.14986399992</v>
      </c>
    </row>
    <row r="66" spans="1:10" s="123" customFormat="1" x14ac:dyDescent="0.3">
      <c r="A66" s="72" t="s">
        <v>70</v>
      </c>
      <c r="B66" s="40">
        <v>1067.5600000000002</v>
      </c>
      <c r="C66" s="40">
        <v>11044.74</v>
      </c>
      <c r="D66" s="40">
        <v>8530.9341599999989</v>
      </c>
      <c r="E66" s="40">
        <f t="shared" si="5"/>
        <v>528491.37121199991</v>
      </c>
    </row>
    <row r="67" spans="1:10" s="123" customFormat="1" x14ac:dyDescent="0.3">
      <c r="A67" s="72" t="s">
        <v>71</v>
      </c>
      <c r="B67" s="40">
        <v>1099.1199999999999</v>
      </c>
      <c r="C67" s="40">
        <v>11534.61</v>
      </c>
      <c r="D67" s="40">
        <v>8764.1471999999994</v>
      </c>
      <c r="E67" s="40">
        <f t="shared" si="5"/>
        <v>542938.91903999995</v>
      </c>
    </row>
    <row r="68" spans="1:10" s="123" customFormat="1" x14ac:dyDescent="0.3">
      <c r="A68" s="72" t="s">
        <v>72</v>
      </c>
      <c r="B68" s="40">
        <v>1043.0800000000002</v>
      </c>
      <c r="C68" s="40">
        <v>11490.839999999998</v>
      </c>
      <c r="D68" s="40">
        <v>8566.9509599999983</v>
      </c>
      <c r="E68" s="40">
        <f t="shared" si="5"/>
        <v>530722.61197199987</v>
      </c>
    </row>
    <row r="69" spans="1:10" s="123" customFormat="1" x14ac:dyDescent="0.3">
      <c r="A69" s="72" t="s">
        <v>73</v>
      </c>
      <c r="B69" s="40">
        <v>1084.1200000000001</v>
      </c>
      <c r="C69" s="40">
        <v>12502.529999999999</v>
      </c>
      <c r="D69" s="40">
        <v>8938.1887200000001</v>
      </c>
      <c r="E69" s="40">
        <f t="shared" si="5"/>
        <v>553720.79120400001</v>
      </c>
    </row>
    <row r="70" spans="1:10" s="123" customFormat="1" x14ac:dyDescent="0.3"/>
    <row r="71" spans="1:10" s="123" customFormat="1" x14ac:dyDescent="0.3"/>
    <row r="72" spans="1:10" s="123" customFormat="1" ht="15.6" x14ac:dyDescent="0.3">
      <c r="A72" s="406" t="s">
        <v>62</v>
      </c>
      <c r="B72" s="406"/>
      <c r="C72" s="406"/>
      <c r="D72" s="406"/>
      <c r="E72" s="406"/>
    </row>
    <row r="73" spans="1:10" s="123" customFormat="1" ht="43.2" x14ac:dyDescent="0.3">
      <c r="A73" s="117" t="s">
        <v>5</v>
      </c>
      <c r="B73" s="51" t="s">
        <v>75</v>
      </c>
      <c r="C73" s="51" t="s">
        <v>51</v>
      </c>
      <c r="D73" s="50" t="s">
        <v>0</v>
      </c>
      <c r="E73" s="51" t="s">
        <v>58</v>
      </c>
    </row>
    <row r="74" spans="1:10" s="123" customFormat="1" x14ac:dyDescent="0.3">
      <c r="A74" s="72" t="s">
        <v>64</v>
      </c>
      <c r="B74" s="40">
        <v>766.4799999999999</v>
      </c>
      <c r="C74" s="40">
        <v>9938.08</v>
      </c>
      <c r="D74" s="40">
        <v>7908.6484</v>
      </c>
      <c r="E74" s="40">
        <f t="shared" ref="E74:E83" si="6">D74*$B$5</f>
        <v>489940.76838000002</v>
      </c>
    </row>
    <row r="75" spans="1:10" s="123" customFormat="1" x14ac:dyDescent="0.3">
      <c r="A75" s="72" t="s">
        <v>65</v>
      </c>
      <c r="B75" s="40">
        <v>794.73</v>
      </c>
      <c r="C75" s="40">
        <v>9945.5499999999993</v>
      </c>
      <c r="D75" s="40">
        <v>7886.8794399999988</v>
      </c>
      <c r="E75" s="40">
        <f t="shared" si="6"/>
        <v>488592.18130799994</v>
      </c>
    </row>
    <row r="76" spans="1:10" s="123" customFormat="1" x14ac:dyDescent="0.3">
      <c r="A76" s="72" t="s">
        <v>66</v>
      </c>
      <c r="B76" s="40">
        <v>822.03000000000009</v>
      </c>
      <c r="C76" s="40">
        <v>10134.370000000001</v>
      </c>
      <c r="D76" s="40">
        <v>8013.8459199999998</v>
      </c>
      <c r="E76" s="40">
        <f t="shared" si="6"/>
        <v>496457.75474400003</v>
      </c>
      <c r="I76" s="39"/>
      <c r="J76" s="39"/>
    </row>
    <row r="77" spans="1:10" s="123" customFormat="1" x14ac:dyDescent="0.3">
      <c r="A77" s="72" t="s">
        <v>67</v>
      </c>
      <c r="B77" s="40">
        <v>910.93999999999994</v>
      </c>
      <c r="C77" s="40">
        <v>10733.800000000003</v>
      </c>
      <c r="D77" s="40">
        <v>8399.9101600000013</v>
      </c>
      <c r="E77" s="40">
        <f t="shared" si="6"/>
        <v>520374.43441200012</v>
      </c>
      <c r="I77" s="45"/>
      <c r="J77" s="54"/>
    </row>
    <row r="78" spans="1:10" s="123" customFormat="1" x14ac:dyDescent="0.3">
      <c r="A78" s="72" t="s">
        <v>68</v>
      </c>
      <c r="B78" s="40">
        <v>993.57</v>
      </c>
      <c r="C78" s="40">
        <v>11229.190000000002</v>
      </c>
      <c r="D78" s="40">
        <v>8699.7032799999997</v>
      </c>
      <c r="E78" s="40">
        <f t="shared" si="6"/>
        <v>538946.618196</v>
      </c>
      <c r="I78" s="45"/>
      <c r="J78" s="54"/>
    </row>
    <row r="79" spans="1:10" s="123" customFormat="1" x14ac:dyDescent="0.3">
      <c r="A79" s="72" t="s">
        <v>69</v>
      </c>
      <c r="B79" s="40">
        <v>1099.72</v>
      </c>
      <c r="C79" s="40">
        <v>11502.07</v>
      </c>
      <c r="D79" s="40">
        <v>8970.6692800000001</v>
      </c>
      <c r="E79" s="40">
        <f t="shared" si="6"/>
        <v>555732.96189600008</v>
      </c>
      <c r="I79" s="39"/>
      <c r="J79" s="39"/>
    </row>
    <row r="80" spans="1:10" s="123" customFormat="1" x14ac:dyDescent="0.3">
      <c r="A80" s="72" t="s">
        <v>70</v>
      </c>
      <c r="B80" s="40">
        <v>1124.6499999999999</v>
      </c>
      <c r="C80" s="40">
        <v>12098.539999999997</v>
      </c>
      <c r="D80" s="40">
        <v>9220.7261599999983</v>
      </c>
      <c r="E80" s="40">
        <f t="shared" si="6"/>
        <v>571223.98561199987</v>
      </c>
      <c r="I80" s="39"/>
      <c r="J80" s="39"/>
    </row>
    <row r="81" spans="1:10" s="123" customFormat="1" x14ac:dyDescent="0.3">
      <c r="A81" s="72" t="s">
        <v>71</v>
      </c>
      <c r="B81" s="40">
        <v>1302.98</v>
      </c>
      <c r="C81" s="40">
        <v>12722.070000000003</v>
      </c>
      <c r="D81" s="40">
        <v>9492.3237600000011</v>
      </c>
      <c r="E81" s="40">
        <f t="shared" si="6"/>
        <v>588049.45693200012</v>
      </c>
      <c r="I81" s="39"/>
      <c r="J81" s="39"/>
    </row>
    <row r="82" spans="1:10" s="123" customFormat="1" x14ac:dyDescent="0.3">
      <c r="A82" s="72" t="s">
        <v>72</v>
      </c>
      <c r="B82" s="40">
        <v>1210.4700000000003</v>
      </c>
      <c r="C82" s="40">
        <v>13317.63</v>
      </c>
      <c r="D82" s="40">
        <v>9795.9743999999992</v>
      </c>
      <c r="E82" s="40">
        <f t="shared" si="6"/>
        <v>606860.61407999997</v>
      </c>
    </row>
    <row r="83" spans="1:10" s="123" customFormat="1" x14ac:dyDescent="0.3">
      <c r="A83" s="72" t="s">
        <v>73</v>
      </c>
      <c r="B83" s="40">
        <v>1403.7199999999998</v>
      </c>
      <c r="C83" s="40">
        <v>14940.309999999998</v>
      </c>
      <c r="D83" s="40">
        <v>10502.711439999999</v>
      </c>
      <c r="E83" s="40">
        <f t="shared" si="6"/>
        <v>650642.97370800003</v>
      </c>
    </row>
    <row r="84" spans="1:10" s="123" customFormat="1" x14ac:dyDescent="0.3"/>
    <row r="85" spans="1:10" s="123" customFormat="1" x14ac:dyDescent="0.3"/>
    <row r="86" spans="1:10" s="123" customFormat="1" ht="15.6" x14ac:dyDescent="0.3">
      <c r="A86" s="406" t="s">
        <v>63</v>
      </c>
      <c r="B86" s="406"/>
      <c r="C86" s="406"/>
      <c r="D86" s="406"/>
      <c r="E86" s="406"/>
    </row>
    <row r="87" spans="1:10" s="123" customFormat="1" ht="43.2" x14ac:dyDescent="0.3">
      <c r="A87" s="117" t="s">
        <v>5</v>
      </c>
      <c r="B87" s="51" t="s">
        <v>75</v>
      </c>
      <c r="C87" s="51" t="s">
        <v>51</v>
      </c>
      <c r="D87" s="50" t="s">
        <v>0</v>
      </c>
      <c r="E87" s="51" t="s">
        <v>58</v>
      </c>
    </row>
    <row r="88" spans="1:10" s="123" customFormat="1" x14ac:dyDescent="0.3">
      <c r="A88" s="72" t="s">
        <v>64</v>
      </c>
      <c r="B88" s="40">
        <v>798.17000000000007</v>
      </c>
      <c r="C88" s="40">
        <v>10110.440000000002</v>
      </c>
      <c r="D88" s="40">
        <v>7979.3993599999994</v>
      </c>
      <c r="E88" s="40">
        <f t="shared" ref="E88:E97" si="7">D88*$B$5</f>
        <v>494323.79035199998</v>
      </c>
    </row>
    <row r="89" spans="1:10" s="123" customFormat="1" x14ac:dyDescent="0.3">
      <c r="A89" s="72" t="s">
        <v>65</v>
      </c>
      <c r="B89" s="40">
        <v>763.95</v>
      </c>
      <c r="C89" s="40">
        <v>9716.9700000000012</v>
      </c>
      <c r="D89" s="40">
        <v>7672.4908799999994</v>
      </c>
      <c r="E89" s="40">
        <f t="shared" si="7"/>
        <v>475310.810016</v>
      </c>
    </row>
    <row r="90" spans="1:10" s="123" customFormat="1" x14ac:dyDescent="0.3">
      <c r="A90" s="72" t="s">
        <v>66</v>
      </c>
      <c r="B90" s="40">
        <v>755.19</v>
      </c>
      <c r="C90" s="40">
        <v>9817.2400000000016</v>
      </c>
      <c r="D90" s="40">
        <v>7879.7569600000006</v>
      </c>
      <c r="E90" s="40">
        <f t="shared" si="7"/>
        <v>488150.94367200008</v>
      </c>
    </row>
    <row r="91" spans="1:10" s="123" customFormat="1" x14ac:dyDescent="0.3">
      <c r="A91" s="72" t="s">
        <v>67</v>
      </c>
      <c r="B91" s="40">
        <v>800.66</v>
      </c>
      <c r="C91" s="40">
        <v>9951.2000000000007</v>
      </c>
      <c r="D91" s="40">
        <v>7912.1844799999999</v>
      </c>
      <c r="E91" s="40">
        <f t="shared" si="7"/>
        <v>490159.82853600004</v>
      </c>
    </row>
    <row r="92" spans="1:10" s="123" customFormat="1" x14ac:dyDescent="0.3">
      <c r="A92" s="72" t="s">
        <v>68</v>
      </c>
      <c r="B92" s="40">
        <v>890.82999999999993</v>
      </c>
      <c r="C92" s="40">
        <v>10307.570000000002</v>
      </c>
      <c r="D92" s="40">
        <v>8102.5863200000003</v>
      </c>
      <c r="E92" s="40">
        <f t="shared" si="7"/>
        <v>501955.22252400004</v>
      </c>
    </row>
    <row r="93" spans="1:10" s="123" customFormat="1" x14ac:dyDescent="0.3">
      <c r="A93" s="72" t="s">
        <v>69</v>
      </c>
      <c r="B93" s="40">
        <v>993.40000000000009</v>
      </c>
      <c r="C93" s="40">
        <v>10944.8</v>
      </c>
      <c r="D93" s="40">
        <v>8329.8862399999998</v>
      </c>
      <c r="E93" s="40">
        <f t="shared" si="7"/>
        <v>516036.45256800001</v>
      </c>
    </row>
    <row r="94" spans="1:10" s="123" customFormat="1" x14ac:dyDescent="0.3">
      <c r="A94" s="72" t="s">
        <v>70</v>
      </c>
      <c r="B94" s="40">
        <v>1072.8800000000001</v>
      </c>
      <c r="C94" s="40">
        <v>12281.179999999998</v>
      </c>
      <c r="D94" s="40">
        <v>9002.6650399999999</v>
      </c>
      <c r="E94" s="40">
        <f t="shared" si="7"/>
        <v>557715.09922800004</v>
      </c>
    </row>
    <row r="95" spans="1:10" s="123" customFormat="1" x14ac:dyDescent="0.3">
      <c r="A95" s="72" t="s">
        <v>71</v>
      </c>
      <c r="B95" s="40">
        <v>1118.4300000000003</v>
      </c>
      <c r="C95" s="40">
        <v>13650.279999999999</v>
      </c>
      <c r="D95" s="40">
        <v>9517.4528799999989</v>
      </c>
      <c r="E95" s="40">
        <f t="shared" si="7"/>
        <v>589606.20591599995</v>
      </c>
    </row>
    <row r="96" spans="1:10" s="123" customFormat="1" x14ac:dyDescent="0.3">
      <c r="A96" s="72" t="s">
        <v>72</v>
      </c>
      <c r="B96" s="40">
        <v>1071.6899999999998</v>
      </c>
      <c r="C96" s="40">
        <v>14838.220000000001</v>
      </c>
      <c r="D96" s="40">
        <v>9761.6168799999978</v>
      </c>
      <c r="E96" s="40">
        <f t="shared" si="7"/>
        <v>604732.1657159999</v>
      </c>
    </row>
    <row r="97" spans="1:5" s="123" customFormat="1" x14ac:dyDescent="0.3">
      <c r="A97" s="72" t="s">
        <v>73</v>
      </c>
      <c r="B97" s="40">
        <v>1182.7199999999998</v>
      </c>
      <c r="C97" s="40">
        <v>17209.89</v>
      </c>
      <c r="D97" s="40">
        <v>10698.03744</v>
      </c>
      <c r="E97" s="40">
        <f t="shared" si="7"/>
        <v>662743.41940800007</v>
      </c>
    </row>
    <row r="98" spans="1:5" s="123" customFormat="1" x14ac:dyDescent="0.3">
      <c r="A98" s="39"/>
      <c r="B98" s="39"/>
      <c r="C98" s="39"/>
      <c r="D98" s="39"/>
      <c r="E98" s="39"/>
    </row>
    <row r="99" spans="1:5" x14ac:dyDescent="0.3">
      <c r="A99" s="124"/>
      <c r="B99" s="124"/>
      <c r="C99" s="124"/>
      <c r="D99" s="124"/>
      <c r="E99" s="124"/>
    </row>
  </sheetData>
  <mergeCells count="7">
    <mergeCell ref="A58:E58"/>
    <mergeCell ref="A72:E72"/>
    <mergeCell ref="A86:E86"/>
    <mergeCell ref="A15:E15"/>
    <mergeCell ref="H15:L15"/>
    <mergeCell ref="A30:E30"/>
    <mergeCell ref="A44:E44"/>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74"/>
  <sheetViews>
    <sheetView topLeftCell="A52" zoomScale="70" zoomScaleNormal="70" workbookViewId="0">
      <selection activeCell="K67" sqref="K67"/>
    </sheetView>
  </sheetViews>
  <sheetFormatPr defaultRowHeight="14.4" x14ac:dyDescent="0.3"/>
  <cols>
    <col min="1" max="1" width="43.109375" customWidth="1"/>
    <col min="2" max="9" width="13.77734375" customWidth="1"/>
    <col min="10" max="10" width="14.44140625" customWidth="1"/>
    <col min="11" max="11" width="15.88671875" customWidth="1"/>
    <col min="12" max="12" width="18.21875" customWidth="1"/>
    <col min="13" max="13" width="19.21875" bestFit="1" customWidth="1"/>
    <col min="14" max="14" width="2.5546875" customWidth="1"/>
    <col min="15" max="15" width="72" bestFit="1" customWidth="1"/>
    <col min="16" max="18" width="9.21875" bestFit="1" customWidth="1"/>
    <col min="19" max="23" width="9.6640625" bestFit="1" customWidth="1"/>
  </cols>
  <sheetData>
    <row r="2" spans="1:7" x14ac:dyDescent="0.3">
      <c r="A2" s="8" t="s">
        <v>117</v>
      </c>
    </row>
    <row r="3" spans="1:7" x14ac:dyDescent="0.3">
      <c r="A3" s="34" t="s">
        <v>41</v>
      </c>
      <c r="B3" s="358" t="s">
        <v>6</v>
      </c>
      <c r="C3" s="358" t="s">
        <v>7</v>
      </c>
      <c r="D3" s="358" t="s">
        <v>8</v>
      </c>
      <c r="E3" s="358" t="s">
        <v>9</v>
      </c>
      <c r="F3" s="358" t="s">
        <v>10</v>
      </c>
      <c r="G3" s="394" t="s">
        <v>43</v>
      </c>
    </row>
    <row r="4" spans="1:7" ht="28.8" x14ac:dyDescent="0.3">
      <c r="A4" s="155" t="s">
        <v>42</v>
      </c>
      <c r="B4" s="28">
        <v>0.2</v>
      </c>
      <c r="C4" s="28">
        <v>0.2</v>
      </c>
      <c r="D4" s="28">
        <v>0.2</v>
      </c>
      <c r="E4" s="28">
        <v>0.2</v>
      </c>
      <c r="F4" s="28">
        <v>0.2</v>
      </c>
      <c r="G4" s="394"/>
    </row>
    <row r="5" spans="1:7" x14ac:dyDescent="0.3">
      <c r="A5" s="4" t="s">
        <v>135</v>
      </c>
      <c r="B5" s="18">
        <f>Option1a!B31</f>
        <v>291.47418167862867</v>
      </c>
      <c r="C5" s="359">
        <f>Option1a!C31</f>
        <v>794.80780287573305</v>
      </c>
      <c r="D5" s="359">
        <f>Option1a!D31</f>
        <v>235.12960010876378</v>
      </c>
      <c r="E5" s="359">
        <f>Option1a!E31</f>
        <v>540.66351743741177</v>
      </c>
      <c r="F5" s="359">
        <f>Option1a!F31</f>
        <v>150.53135412646006</v>
      </c>
      <c r="G5" s="18">
        <f>B5*$B$4+C5*$C$4+D5*$D$4+E5*$E$4+F5*$F$4</f>
        <v>402.52129124539948</v>
      </c>
    </row>
    <row r="6" spans="1:7" x14ac:dyDescent="0.3">
      <c r="A6" s="4" t="s">
        <v>27</v>
      </c>
      <c r="B6" s="18">
        <f>Option1b!B31</f>
        <v>314.56807842977702</v>
      </c>
      <c r="C6" s="359">
        <f>Option1b!C31</f>
        <v>809.58556634995114</v>
      </c>
      <c r="D6" s="359">
        <f>Option1b!D31</f>
        <v>255.95406828753983</v>
      </c>
      <c r="E6" s="359">
        <f>Option1b!E31</f>
        <v>556.72457134732258</v>
      </c>
      <c r="F6" s="359">
        <f>Option1b!F31</f>
        <v>188.25420898853901</v>
      </c>
      <c r="G6" s="18">
        <f t="shared" ref="G6:G15" si="0">B6*$B$4+C6*$C$4+D6*$D$4+E6*$E$4+F6*$F$4</f>
        <v>425.01729868062597</v>
      </c>
    </row>
    <row r="7" spans="1:7" x14ac:dyDescent="0.3">
      <c r="A7" s="4" t="s">
        <v>136</v>
      </c>
      <c r="B7" s="18">
        <f>Option2!B31</f>
        <v>293.20743422030955</v>
      </c>
      <c r="C7" s="359">
        <f>Option2!C31</f>
        <v>796.65444937594714</v>
      </c>
      <c r="D7" s="359">
        <f>Option2!D31</f>
        <v>235.46650422071508</v>
      </c>
      <c r="E7" s="359">
        <f>Option2!E31</f>
        <v>540.68752466090723</v>
      </c>
      <c r="F7" s="359">
        <f>Option2!F31</f>
        <v>150.05446612488188</v>
      </c>
      <c r="G7" s="18">
        <f t="shared" si="0"/>
        <v>403.21407572055222</v>
      </c>
    </row>
    <row r="8" spans="1:7" x14ac:dyDescent="0.3">
      <c r="A8" s="4" t="s">
        <v>137</v>
      </c>
      <c r="B8" s="18">
        <f>Option3a!B31</f>
        <v>289.09612848406994</v>
      </c>
      <c r="C8" s="359">
        <f>Option3a!C31</f>
        <v>795.68094600422205</v>
      </c>
      <c r="D8" s="359">
        <f>Option3a!D31</f>
        <v>293.24952850856999</v>
      </c>
      <c r="E8" s="359">
        <f>Option3a!E31</f>
        <v>550.87485394817315</v>
      </c>
      <c r="F8" s="359">
        <f>Option3a!F31</f>
        <v>167.17984828555927</v>
      </c>
      <c r="G8" s="18">
        <f t="shared" si="0"/>
        <v>419.21626104611892</v>
      </c>
    </row>
    <row r="9" spans="1:7" x14ac:dyDescent="0.3">
      <c r="A9" s="4" t="s">
        <v>38</v>
      </c>
      <c r="B9" s="18">
        <f>Option3b!B31</f>
        <v>312.10236569232598</v>
      </c>
      <c r="C9" s="359">
        <f>Option3b!C31</f>
        <v>814.29950705968838</v>
      </c>
      <c r="D9" s="359">
        <f>Option3b!D31</f>
        <v>314.52912745322897</v>
      </c>
      <c r="E9" s="359">
        <f>Option3b!E31</f>
        <v>570.97992696885774</v>
      </c>
      <c r="F9" s="359">
        <f>Option3b!F31</f>
        <v>206.20949747518927</v>
      </c>
      <c r="G9" s="18">
        <f t="shared" si="0"/>
        <v>443.62408492985804</v>
      </c>
    </row>
    <row r="10" spans="1:7" x14ac:dyDescent="0.3">
      <c r="A10" s="4" t="s">
        <v>138</v>
      </c>
      <c r="B10" s="18">
        <f>Option4a!B31</f>
        <v>289.09612848406994</v>
      </c>
      <c r="C10" s="359">
        <f>Option4a!C31</f>
        <v>795.17122211166236</v>
      </c>
      <c r="D10" s="359">
        <f>Option4a!D31</f>
        <v>293.19166181459093</v>
      </c>
      <c r="E10" s="359">
        <f>Option4a!E31</f>
        <v>551.01498330604875</v>
      </c>
      <c r="F10" s="359">
        <f>Option4a!F31</f>
        <v>167.61328242460016</v>
      </c>
      <c r="G10" s="18">
        <f t="shared" si="0"/>
        <v>419.21745562819444</v>
      </c>
    </row>
    <row r="11" spans="1:7" x14ac:dyDescent="0.3">
      <c r="A11" s="4" t="s">
        <v>39</v>
      </c>
      <c r="B11" s="18">
        <f>Option4b!B31</f>
        <v>312.06388974995548</v>
      </c>
      <c r="C11" s="359">
        <f>Option4b!C31</f>
        <v>814.29950705968838</v>
      </c>
      <c r="D11" s="359">
        <f>Option4b!D31</f>
        <v>314.52912745322897</v>
      </c>
      <c r="E11" s="359">
        <f>Option4b!E31</f>
        <v>570.97992696885774</v>
      </c>
      <c r="F11" s="359">
        <f>Option4b!F31</f>
        <v>206.20949747518927</v>
      </c>
      <c r="G11" s="18">
        <f t="shared" si="0"/>
        <v>443.61638974138395</v>
      </c>
    </row>
    <row r="12" spans="1:7" x14ac:dyDescent="0.3">
      <c r="A12" s="4" t="s">
        <v>139</v>
      </c>
      <c r="B12" s="18">
        <f>Option5!B31</f>
        <v>271.12835970045495</v>
      </c>
      <c r="C12" s="359">
        <f>Option5!C31</f>
        <v>754.91981361569276</v>
      </c>
      <c r="D12" s="359">
        <f>Option5!D31</f>
        <v>236.07978543453035</v>
      </c>
      <c r="E12" s="359">
        <f>Option5!E31</f>
        <v>526.04941452425533</v>
      </c>
      <c r="F12" s="359">
        <f>Option5!F31</f>
        <v>129.91857762583609</v>
      </c>
      <c r="G12" s="18">
        <f t="shared" si="0"/>
        <v>383.61919018015385</v>
      </c>
    </row>
    <row r="13" spans="1:7" x14ac:dyDescent="0.3">
      <c r="A13" s="4" t="s">
        <v>140</v>
      </c>
      <c r="B13" s="18">
        <f>Option6!B31</f>
        <v>210.16353619561843</v>
      </c>
      <c r="C13" s="359">
        <f>Option6!C31</f>
        <v>630.49205692059786</v>
      </c>
      <c r="D13" s="359">
        <f>Option6!D31</f>
        <v>218.28709877871458</v>
      </c>
      <c r="E13" s="359">
        <f>Option6!E31</f>
        <v>459.23310784731177</v>
      </c>
      <c r="F13" s="359">
        <f>Option6!F31</f>
        <v>141.81401241490511</v>
      </c>
      <c r="G13" s="18">
        <f t="shared" si="0"/>
        <v>331.99796243142953</v>
      </c>
    </row>
    <row r="14" spans="1:7" x14ac:dyDescent="0.3">
      <c r="A14" s="4" t="s">
        <v>141</v>
      </c>
      <c r="B14" s="18">
        <f>Option7!B31</f>
        <v>228.06957927655336</v>
      </c>
      <c r="C14" s="359">
        <f>Option7!C31</f>
        <v>721.97891579770408</v>
      </c>
      <c r="D14" s="359">
        <f>Option7!D31</f>
        <v>260.78214382480809</v>
      </c>
      <c r="E14" s="359">
        <f>Option7!E31</f>
        <v>489.99001591390379</v>
      </c>
      <c r="F14" s="359">
        <f>Option7!F31</f>
        <v>164.43288308363063</v>
      </c>
      <c r="G14" s="18">
        <f t="shared" si="0"/>
        <v>373.05070757931998</v>
      </c>
    </row>
    <row r="15" spans="1:7" x14ac:dyDescent="0.3">
      <c r="A15" s="4" t="s">
        <v>142</v>
      </c>
      <c r="B15" s="18">
        <f>Option8!B31</f>
        <v>64.943519602047076</v>
      </c>
      <c r="C15" s="359">
        <f>Option8!C31</f>
        <v>202.69807715513113</v>
      </c>
      <c r="D15" s="359">
        <f>Option8!D31</f>
        <v>59.902960356195955</v>
      </c>
      <c r="E15" s="359">
        <f>Option8!E31</f>
        <v>126.29262649063553</v>
      </c>
      <c r="F15" s="359">
        <f>Option8!F31</f>
        <v>44.491101077037271</v>
      </c>
      <c r="G15" s="18">
        <f t="shared" si="0"/>
        <v>99.665656936209388</v>
      </c>
    </row>
    <row r="18" spans="1:5" x14ac:dyDescent="0.3">
      <c r="A18" s="8" t="s">
        <v>118</v>
      </c>
    </row>
    <row r="19" spans="1:5" ht="43.2" x14ac:dyDescent="0.3">
      <c r="A19" s="34" t="s">
        <v>41</v>
      </c>
      <c r="B19" s="155" t="s">
        <v>156</v>
      </c>
      <c r="C19" s="155" t="s">
        <v>157</v>
      </c>
      <c r="D19" s="155" t="s">
        <v>112</v>
      </c>
      <c r="E19" s="155" t="s">
        <v>105</v>
      </c>
    </row>
    <row r="20" spans="1:5" s="24" customFormat="1" x14ac:dyDescent="0.3">
      <c r="A20" s="344" t="s">
        <v>135</v>
      </c>
      <c r="B20" s="21">
        <f>Option1a!B12</f>
        <v>150.16497540481723</v>
      </c>
      <c r="C20" s="18">
        <f t="shared" ref="C20:C30" si="1">G5</f>
        <v>402.52129124539948</v>
      </c>
      <c r="D20" s="21">
        <f>C20-B20</f>
        <v>252.35631584058225</v>
      </c>
      <c r="E20" s="26">
        <f t="shared" ref="E20:E30" si="2">RANK(D20,$D$20:$D$30)</f>
        <v>6</v>
      </c>
    </row>
    <row r="21" spans="1:5" x14ac:dyDescent="0.3">
      <c r="A21" s="344" t="s">
        <v>27</v>
      </c>
      <c r="B21" s="21">
        <f>Option1b!B12</f>
        <v>150.88232401343896</v>
      </c>
      <c r="C21" s="18">
        <f t="shared" si="1"/>
        <v>425.01729868062597</v>
      </c>
      <c r="D21" s="21">
        <f t="shared" ref="D21:D30" si="3">C21-B21</f>
        <v>274.13497466718701</v>
      </c>
      <c r="E21" s="26">
        <f t="shared" si="2"/>
        <v>5</v>
      </c>
    </row>
    <row r="22" spans="1:5" x14ac:dyDescent="0.3">
      <c r="A22" s="344" t="s">
        <v>136</v>
      </c>
      <c r="B22" s="21">
        <f>Option2!B12</f>
        <v>152.55613743355636</v>
      </c>
      <c r="C22" s="18">
        <f t="shared" si="1"/>
        <v>403.21407572055222</v>
      </c>
      <c r="D22" s="21">
        <f t="shared" si="3"/>
        <v>250.65793828699586</v>
      </c>
      <c r="E22" s="26">
        <f t="shared" si="2"/>
        <v>7</v>
      </c>
    </row>
    <row r="23" spans="1:5" x14ac:dyDescent="0.3">
      <c r="A23" s="344" t="s">
        <v>137</v>
      </c>
      <c r="B23" s="21">
        <f>Option3a!B12</f>
        <v>125.53600650880422</v>
      </c>
      <c r="C23" s="18">
        <f t="shared" si="1"/>
        <v>419.21626104611892</v>
      </c>
      <c r="D23" s="21">
        <f t="shared" si="3"/>
        <v>293.68025453731468</v>
      </c>
      <c r="E23" s="26">
        <f t="shared" si="2"/>
        <v>3</v>
      </c>
    </row>
    <row r="24" spans="1:5" x14ac:dyDescent="0.3">
      <c r="A24" s="344" t="s">
        <v>38</v>
      </c>
      <c r="B24" s="21">
        <f>Option3b!B12</f>
        <v>126.25335511742597</v>
      </c>
      <c r="C24" s="18">
        <f t="shared" si="1"/>
        <v>443.62408492985804</v>
      </c>
      <c r="D24" s="21">
        <f t="shared" si="3"/>
        <v>317.37072981243205</v>
      </c>
      <c r="E24" s="26">
        <f t="shared" si="2"/>
        <v>1</v>
      </c>
    </row>
    <row r="25" spans="1:5" x14ac:dyDescent="0.3">
      <c r="A25" s="344" t="s">
        <v>138</v>
      </c>
      <c r="B25" s="21">
        <f>Option4a!B12</f>
        <v>131.63346968208901</v>
      </c>
      <c r="C25" s="18">
        <f t="shared" si="1"/>
        <v>419.21745562819444</v>
      </c>
      <c r="D25" s="21">
        <f t="shared" si="3"/>
        <v>287.58398594610543</v>
      </c>
      <c r="E25" s="26">
        <f t="shared" si="2"/>
        <v>4</v>
      </c>
    </row>
    <row r="26" spans="1:5" x14ac:dyDescent="0.3">
      <c r="A26" s="344" t="s">
        <v>39</v>
      </c>
      <c r="B26" s="21">
        <f>Option4b!B12</f>
        <v>132.35081829071075</v>
      </c>
      <c r="C26" s="18">
        <f t="shared" si="1"/>
        <v>443.61638974138395</v>
      </c>
      <c r="D26" s="21">
        <f t="shared" si="3"/>
        <v>311.26557145067318</v>
      </c>
      <c r="E26" s="26">
        <f t="shared" si="2"/>
        <v>2</v>
      </c>
    </row>
    <row r="27" spans="1:5" x14ac:dyDescent="0.3">
      <c r="A27" s="344" t="s">
        <v>139</v>
      </c>
      <c r="B27" s="21">
        <f>Option5!B12</f>
        <v>205.52037637012805</v>
      </c>
      <c r="C27" s="18">
        <f t="shared" si="1"/>
        <v>383.61919018015385</v>
      </c>
      <c r="D27" s="21">
        <f t="shared" si="3"/>
        <v>178.0988138100258</v>
      </c>
      <c r="E27" s="26">
        <f t="shared" si="2"/>
        <v>8</v>
      </c>
    </row>
    <row r="28" spans="1:5" x14ac:dyDescent="0.3">
      <c r="A28" s="344" t="s">
        <v>140</v>
      </c>
      <c r="B28" s="21">
        <f>Option6!B12</f>
        <v>263.26693936417803</v>
      </c>
      <c r="C28" s="18">
        <f t="shared" si="1"/>
        <v>331.99796243142953</v>
      </c>
      <c r="D28" s="21">
        <f t="shared" si="3"/>
        <v>68.731023067251499</v>
      </c>
      <c r="E28" s="26">
        <f t="shared" si="2"/>
        <v>11</v>
      </c>
    </row>
    <row r="29" spans="1:5" x14ac:dyDescent="0.3">
      <c r="A29" s="344" t="s">
        <v>141</v>
      </c>
      <c r="B29" s="21">
        <f>Option7!B12</f>
        <v>238.63797046816501</v>
      </c>
      <c r="C29" s="18">
        <f t="shared" si="1"/>
        <v>373.05070757931998</v>
      </c>
      <c r="D29" s="21">
        <f t="shared" si="3"/>
        <v>134.41273711115497</v>
      </c>
      <c r="E29" s="26">
        <f t="shared" si="2"/>
        <v>9</v>
      </c>
    </row>
    <row r="30" spans="1:5" x14ac:dyDescent="0.3">
      <c r="A30" s="344" t="s">
        <v>142</v>
      </c>
      <c r="B30" s="21">
        <f>Option8!B6</f>
        <v>18.190616895633198</v>
      </c>
      <c r="C30" s="18">
        <f t="shared" si="1"/>
        <v>99.665656936209388</v>
      </c>
      <c r="D30" s="21">
        <f t="shared" si="3"/>
        <v>81.475040040576189</v>
      </c>
      <c r="E30" s="26">
        <f t="shared" si="2"/>
        <v>10</v>
      </c>
    </row>
    <row r="32" spans="1:5" s="357" customFormat="1" x14ac:dyDescent="0.3"/>
    <row r="33" spans="1:9" x14ac:dyDescent="0.3">
      <c r="A33" s="8" t="s">
        <v>119</v>
      </c>
    </row>
    <row r="34" spans="1:9" x14ac:dyDescent="0.3">
      <c r="A34" s="395" t="s">
        <v>44</v>
      </c>
      <c r="B34" s="397" t="s">
        <v>2</v>
      </c>
      <c r="C34" s="397"/>
      <c r="D34" s="397" t="s">
        <v>45</v>
      </c>
      <c r="E34" s="397"/>
      <c r="F34" s="397" t="s">
        <v>40</v>
      </c>
      <c r="G34" s="397"/>
    </row>
    <row r="35" spans="1:9" x14ac:dyDescent="0.3">
      <c r="A35" s="396"/>
      <c r="B35" s="28">
        <v>0.06</v>
      </c>
      <c r="C35" s="28">
        <v>0.12</v>
      </c>
      <c r="D35" s="28">
        <v>0.3</v>
      </c>
      <c r="E35" s="28">
        <v>-0.3</v>
      </c>
      <c r="F35" s="28">
        <v>0.2</v>
      </c>
      <c r="G35" s="28">
        <v>-0.2</v>
      </c>
    </row>
    <row r="36" spans="1:9" x14ac:dyDescent="0.3">
      <c r="A36" s="344" t="s">
        <v>135</v>
      </c>
      <c r="B36" s="21">
        <f>NPV($B$35,Option1a!$I$17:$I$25,Option1a!$I$26+(-PV($B$35,Option1a!$G$7-Option1a!$H$27,Option1a!$I$26)))-Option1a!$B$12</f>
        <v>635.20784885683565</v>
      </c>
      <c r="C36" s="21">
        <f>NPV($C$35,Option1a!$I$17:$I$25,Option1a!$I$26+(-PV($C$35,Option1a!$G$7-Option1a!$H$27,Option1a!$I$26)))-Option1a!$B$12</f>
        <v>152.11635113933326</v>
      </c>
      <c r="D36" s="21">
        <f>Option1a!$I$28-(-PV(Option1a!$G$6,Option1a!$G$7,SUM(Option1a!$B$6:$D$6)*(1+$D$35)*0.02)+SUM(Option1a!$B$6:$D$6)*(1+$D$35))</f>
        <v>207.30682321913707</v>
      </c>
      <c r="E36" s="21">
        <f>Option1a!$I$28-(-PV(Option1a!$G$6,Option1a!$G$7,SUM(Option1a!$B$6:$D$6)*(1+$E$35)*0.02)+SUM(Option1a!$B$6:$D$6)*(1+$E$35))</f>
        <v>297.40580846202744</v>
      </c>
      <c r="F36" s="21">
        <f>Option1a!C$118-Option1a!$B$12</f>
        <v>332.86057408966212</v>
      </c>
      <c r="G36" s="21">
        <f>Option1a!D$118-Option1a!$B$12</f>
        <v>171.85205759150236</v>
      </c>
    </row>
    <row r="37" spans="1:9" x14ac:dyDescent="0.3">
      <c r="A37" s="344" t="s">
        <v>27</v>
      </c>
      <c r="B37" s="21">
        <f>NPV($B$35,Option1b!$I$17:$I$25,Option1b!$I$26+(-PV($B$35,Option1b!$G$7-Option1b!$H$27,Option1b!$I$26)))-Option1b!$B$12</f>
        <v>643.6006109639635</v>
      </c>
      <c r="C37" s="21">
        <f>NPV($C$35,Option1b!$I$17:$I$25,Option1b!$I$26+(-PV($C$35,Option1b!$G$7-Option1b!$H$27,Option1b!$I$26)))-Option1b!$B$12</f>
        <v>174.15654438089712</v>
      </c>
      <c r="D37" s="21">
        <f>Option1b!$I$28-(-PV(Option1b!$G$6,Option1b!$G$7,SUM(Option1b!$B$6:$D$6)*(1+$D$35)*0.02)+SUM(Option1b!$B$6:$D$6)*(1+$D$35))</f>
        <v>228.87027746315519</v>
      </c>
      <c r="E37" s="21">
        <f>Option1b!$I$28-(-PV(Option1b!$G$6,Option1b!$G$7,SUM(Option1b!$B$6:$D$6)*(1+$E$35)*0.02)+SUM(Option1b!$B$6:$D$6)*(1+$E$35))</f>
        <v>319.39967187121857</v>
      </c>
      <c r="F37" s="21">
        <f>Option1b!C$118-Option1b!$B$12</f>
        <v>359.1384344033122</v>
      </c>
      <c r="G37" s="21">
        <f>Option1b!D$118-Option1b!$B$12</f>
        <v>189.13151493106176</v>
      </c>
    </row>
    <row r="38" spans="1:9" x14ac:dyDescent="0.3">
      <c r="A38" s="344" t="s">
        <v>136</v>
      </c>
      <c r="B38" s="21">
        <f>NPV($B$35,Option2!$I$17:$I$25,Option2!$I$26+(-PV($B$35,Option2!$G$7-Option2!$H$27,Option2!$I$26)))-Option2!$B$12</f>
        <v>634.30528834975416</v>
      </c>
      <c r="C38" s="21">
        <f>NPV($C$35,Option2!$I$17:$I$25,Option2!$I$26+(-PV($C$35,Option2!$G$7-Option2!$H$27,Option2!$I$26)))-Option2!$B$12</f>
        <v>150.21863910086191</v>
      </c>
      <c r="D38" s="21">
        <f>Option2!$I$28-(-PV(Option2!$G$6,Option2!$G$7,SUM(Option2!$B$6:$D$6)*(1+$D$35)*0.02)+SUM(Option2!$B$6:$D$6)*(1+$D$35))</f>
        <v>204.89109705692888</v>
      </c>
      <c r="E38" s="21">
        <f>Option2!$I$28-(-PV(Option2!$G$6,Option2!$G$7,SUM(Option2!$B$6:$D$6)*(1+$E$35)*0.02)+SUM(Option2!$B$6:$D$6)*(1+$E$35))</f>
        <v>296.42477951706269</v>
      </c>
      <c r="F38" s="21">
        <f>Option2!C$118-Option2!$B$12</f>
        <v>331.30075343110616</v>
      </c>
      <c r="G38" s="21">
        <f>Option2!D$118-Option2!$B$12</f>
        <v>170.01512314288536</v>
      </c>
      <c r="H38" s="357"/>
    </row>
    <row r="39" spans="1:9" x14ac:dyDescent="0.3">
      <c r="A39" s="344" t="s">
        <v>137</v>
      </c>
      <c r="B39" s="21">
        <f>NPV($B$35,Option3a!$I$17:$I$25,Option3a!$I$26+(-PV($B$35,Option3a!$G$7-Option3a!$H$27,Option3a!$I$26)))-Option3a!$B$12</f>
        <v>659.4402374470319</v>
      </c>
      <c r="C39" s="21">
        <f>NPV($C$35,Option3a!$I$17:$I$25,Option3a!$I$26+(-PV($C$35,Option3a!$G$7-Option3a!$H$27,Option3a!$I$26)))-Option3a!$B$12</f>
        <v>195.46012252210545</v>
      </c>
      <c r="D39" s="21">
        <f>Option3a!$I$28-(-PV(Option3a!$G$6,Option3a!$G$7,SUM(Option3a!$B$6:$D$6)*(1+$D$35)*0.02)+SUM(Option3a!$B$6:$D$6)*(1+$D$35))</f>
        <v>256.01945258467339</v>
      </c>
      <c r="E39" s="21">
        <f>Option3a!$I$28-(-PV(Option3a!$G$6,Option3a!$G$7,SUM(Option3a!$B$6:$D$6)*(1+$E$35)*0.02)+SUM(Option3a!$B$6:$D$6)*(1+$E$35))</f>
        <v>331.34105648995592</v>
      </c>
      <c r="F39" s="21">
        <f>Option3a!C$118-Option3a!$B$12</f>
        <v>377.52350674653843</v>
      </c>
      <c r="G39" s="21">
        <f>Option3a!D$118-Option3a!$B$12</f>
        <v>209.83700232809088</v>
      </c>
    </row>
    <row r="40" spans="1:9" x14ac:dyDescent="0.3">
      <c r="A40" s="344" t="s">
        <v>38</v>
      </c>
      <c r="B40" s="21">
        <f>NPV($B$35,Option3b!$I$17:$I$25,Option3b!$I$26+(-PV($B$35,Option3b!$G$7-Option3b!$H$27,Option3b!$I$26)))-Option3b!$B$12</f>
        <v>678.78273167484883</v>
      </c>
      <c r="C40" s="21">
        <f>NPV($C$35,Option3b!$I$17:$I$25,Option3b!$I$26+(-PV($C$35,Option3b!$G$7-Option3b!$H$27,Option3b!$I$26)))-Option3b!$B$12</f>
        <v>218.28586562156798</v>
      </c>
      <c r="D40" s="21">
        <f>Option3b!$I$28-(-PV(Option3b!$G$6,Option3b!$G$7,SUM(Option3b!$B$6:$D$6)*(1+$D$35)*0.02)+SUM(Option3b!$B$6:$D$6)*(1+$D$35))</f>
        <v>279.49472327720434</v>
      </c>
      <c r="E40" s="21">
        <f>Option3b!$I$28-(-PV(Option3b!$G$6,Option3b!$G$7,SUM(Option3b!$B$6:$D$6)*(1+$E$35)*0.02)+SUM(Option3b!$B$6:$D$6)*(1+$E$35))</f>
        <v>355.24673634765992</v>
      </c>
      <c r="F40" s="21">
        <f>Option3b!C$118-Option3b!$B$12</f>
        <v>406.0955467984038</v>
      </c>
      <c r="G40" s="21">
        <f>Option3b!D$118-Option3b!$B$12</f>
        <v>228.64591282646049</v>
      </c>
    </row>
    <row r="41" spans="1:9" x14ac:dyDescent="0.3">
      <c r="A41" s="344" t="s">
        <v>138</v>
      </c>
      <c r="B41" s="21">
        <f>NPV($B$35,Option4a!$I$17:$I$25,Option4a!$I$26+(-PV($B$35,Option4a!$G$7-Option4a!$H$27,Option4a!$I$26)))-Option4a!$B$12</f>
        <v>653.35375312622068</v>
      </c>
      <c r="C41" s="21">
        <f>NPV($C$35,Option4a!$I$17:$I$25,Option4a!$I$26+(-PV($C$35,Option4a!$G$7-Option4a!$H$27,Option4a!$I$26)))-Option4a!$B$12</f>
        <v>189.36201276972554</v>
      </c>
      <c r="D41" s="21">
        <f>Option4a!$I$28-(-PV(Option4a!$G$6,Option4a!$G$7,SUM(Option4a!$B$6:$D$6)*(1+$D$35)*0.02)+SUM(Option4a!$B$6:$D$6)*(1+$D$35))</f>
        <v>248.0939450414788</v>
      </c>
      <c r="E41" s="21">
        <f>Option4a!$I$28-(-PV(Option4a!$G$6,Option4a!$G$7,SUM(Option4a!$B$6:$D$6)*(1+$E$35)*0.02)+SUM(Option4a!$B$6:$D$6)*(1+$E$35))</f>
        <v>327.0740268507322</v>
      </c>
      <c r="F41" s="21">
        <f>Option4a!C$118-Option4a!$B$12</f>
        <v>371.42747707174431</v>
      </c>
      <c r="G41" s="21">
        <f>Option4a!D$118-Option4a!$B$12</f>
        <v>203.74049482046655</v>
      </c>
    </row>
    <row r="42" spans="1:9" x14ac:dyDescent="0.3">
      <c r="A42" s="344" t="s">
        <v>39</v>
      </c>
      <c r="B42" s="21">
        <f>NPV($B$35,Option4b!$I$17:$I$25,Option4b!$I$26+(-PV($B$35,Option4b!$G$7-Option4b!$H$27,Option4b!$I$26)))-Option4b!$B$12</f>
        <v>672.66819015502938</v>
      </c>
      <c r="C42" s="21">
        <f>NPV($C$35,Option4b!$I$17:$I$25,Option4b!$I$26+(-PV($C$35,Option4b!$G$7-Option4b!$H$27,Option4b!$I$26)))-Option4b!$B$12</f>
        <v>212.18304742301311</v>
      </c>
      <c r="D42" s="21">
        <f>Option4b!$I$28-(-PV(Option4b!$G$6,Option4b!$G$7,SUM(Option4b!$B$6:$D$6)*(1+$D$35)*0.02)+SUM(Option4b!$B$6:$D$6)*(1+$D$35))</f>
        <v>271.56032596345995</v>
      </c>
      <c r="E42" s="21">
        <f>Option4b!$I$28-(-PV(Option4b!$G$6,Option4b!$G$7,SUM(Option4b!$B$6:$D$6)*(1+$E$35)*0.02)+SUM(Option4b!$B$6:$D$6)*(1+$E$35))</f>
        <v>350.97081693788641</v>
      </c>
      <c r="F42" s="21">
        <f>Option4b!C$118-Option4b!$B$12</f>
        <v>399.98884939895004</v>
      </c>
      <c r="G42" s="21">
        <f>Option4b!D$118-Option4b!$B$12</f>
        <v>222.54229350239646</v>
      </c>
    </row>
    <row r="43" spans="1:9" x14ac:dyDescent="0.3">
      <c r="A43" s="344" t="s">
        <v>139</v>
      </c>
      <c r="B43" s="21">
        <f>NPV($B$35,Option5!$I$17:$I$25,Option5!$I$26+(-PV($B$35,Option5!$G$7-Option5!$H$27,Option5!$I$26)))-Option5!$B$12</f>
        <v>540.2267279315663</v>
      </c>
      <c r="C43" s="21">
        <f>NPV($C$35,Option5!$I$17:$I$25,Option5!$I$26+(-PV($C$35,Option5!$G$7-Option5!$H$27,Option5!$I$26)))-Option5!$B$12</f>
        <v>83.091780417255364</v>
      </c>
      <c r="D43" s="21">
        <f>Option5!$I$28-(-PV(Option5!$G$6,Option5!$G$7,SUM(Option5!$B$6:$D$6)*(1+$D$35)*0.02)+SUM(Option5!$B$6:$D$6)*(1+$D$35))</f>
        <v>116.44270089898737</v>
      </c>
      <c r="E43" s="21">
        <f>Option5!$I$28-(-PV(Option5!$G$6,Option5!$G$7,SUM(Option5!$B$6:$D$6)*(1+$E$35)*0.02)+SUM(Option5!$B$6:$D$6)*(1+$E$35))</f>
        <v>239.75492672106421</v>
      </c>
      <c r="F43" s="21">
        <f>Option5!C$118-Option5!$B$12</f>
        <v>254.82265184605663</v>
      </c>
      <c r="G43" s="21">
        <f>Option5!D$118-Option5!$B$12</f>
        <v>101.37497577399509</v>
      </c>
    </row>
    <row r="44" spans="1:9" x14ac:dyDescent="0.3">
      <c r="A44" s="344" t="s">
        <v>140</v>
      </c>
      <c r="B44" s="21">
        <f>NPV($B$35,Option6!$I$17:$I$25,Option6!$I$26+(-PV($B$35,Option6!$G$7-Option6!$H$27,Option6!$I$26)))-Option6!$B$12</f>
        <v>394.20990783874652</v>
      </c>
      <c r="C44" s="21">
        <f>NPV($C$35,Option6!$I$17:$I$25,Option6!$I$26+(-PV($C$35,Option6!$G$7-Option6!$H$27,Option6!$I$26)))-Option6!$B$12</f>
        <v>-15.914929701190516</v>
      </c>
      <c r="D44" s="21">
        <f>Option6!$I$28-(-PV(Option6!$G$6,Option6!$G$7,SUM(Option6!$B$6:$D$6)*(1+$D$35)*0.02)+SUM(Option6!$B$6:$D$6)*(1+$D$35))</f>
        <v>-10.249058742001864</v>
      </c>
      <c r="E44" s="21">
        <f>Option6!$I$28-(-PV(Option6!$G$6,Option6!$G$7,SUM(Option6!$B$6:$D$6)*(1+$E$35)*0.02)+SUM(Option6!$B$6:$D$6)*(1+$E$35))</f>
        <v>147.71110487650498</v>
      </c>
      <c r="F44" s="21">
        <f>Option6!C$118-Option6!$B$12</f>
        <v>135.1306155535375</v>
      </c>
      <c r="G44" s="21">
        <f>Option6!D$118-Option6!$B$12</f>
        <v>2.331430580965673</v>
      </c>
    </row>
    <row r="45" spans="1:9" x14ac:dyDescent="0.3">
      <c r="A45" s="344" t="s">
        <v>141</v>
      </c>
      <c r="B45" s="21">
        <f>NPV($B$35,Option7!$I$17:$I$25,Option7!$I$26+(-PV($B$35,Option7!$G$7-Option7!$H$27,Option7!$I$26)))-Option7!$B$12</f>
        <v>463.48674259965537</v>
      </c>
      <c r="C45" s="21">
        <f>NPV($C$35,Option7!$I$17:$I$25,Option7!$I$26+(-PV($C$35,Option7!$G$7-Option7!$H$27,Option7!$I$26)))-Option7!$B$12</f>
        <v>46.315929774402832</v>
      </c>
      <c r="D45" s="21">
        <f>Option7!$I$28-(-PV(Option7!$G$6,Option7!$G$7,SUM(Option7!$B$6:$D$6)*(1+$D$35)*0.02)+SUM(Option7!$B$6:$D$6)*(1+$D$35))</f>
        <v>62.821345970705465</v>
      </c>
      <c r="E45" s="21">
        <f>Option7!$I$28-(-PV(Option7!$G$6,Option7!$G$7,SUM(Option7!$B$6:$D$6)*(1+$E$35)*0.02)+SUM(Option7!$B$6:$D$6)*(1+$E$35))</f>
        <v>206.0041282516045</v>
      </c>
      <c r="F45" s="21">
        <f>Option7!C$118-Option7!$B$12</f>
        <v>209.022878627019</v>
      </c>
      <c r="G45" s="21">
        <f>Option7!D$118-Option7!$B$12</f>
        <v>59.802595595291052</v>
      </c>
    </row>
    <row r="46" spans="1:9" x14ac:dyDescent="0.3">
      <c r="A46" s="344" t="s">
        <v>142</v>
      </c>
      <c r="B46" s="21">
        <f>NPV($B$35,Option8!$J$17:$J$25,Option8!$J$26+(-PV($B$35,Option8!$G$7-Option8!$I$27,Option8!$J$26)))-Option8!$G$28</f>
        <v>153.8680836927</v>
      </c>
      <c r="C46" s="21">
        <f>NPV($C$35,Option8!$J$17:$J$25,Option8!$J$26+(-PV($C$35,Option8!$G$7-Option8!$I$27,Option8!$J$26)))-Option8!$G$28</f>
        <v>61.304449089184729</v>
      </c>
      <c r="D46" s="21">
        <f>Option8!$J$28-(-PV(Option8!$G$6,Option8!$G$7,0)+Option8!$G$28*(1+$D$35))</f>
        <v>76.017854971886209</v>
      </c>
      <c r="E46" s="21">
        <f>Option8!$J$28-(-PV(Option8!$G$6,Option8!$G$7,0)+Option8!$G$28*(1+$E$35))</f>
        <v>86.932225109266142</v>
      </c>
      <c r="F46" s="21">
        <f>Option8!C118-Option8!$B$6</f>
        <v>101.70202594458333</v>
      </c>
      <c r="G46" s="21">
        <f>Option8!D118-Option8!$B$6</f>
        <v>61.248054136569081</v>
      </c>
      <c r="I46" s="377"/>
    </row>
    <row r="49" spans="1:9" x14ac:dyDescent="0.3">
      <c r="A49" s="8" t="s">
        <v>120</v>
      </c>
    </row>
    <row r="50" spans="1:9" x14ac:dyDescent="0.3">
      <c r="A50" s="395" t="s">
        <v>46</v>
      </c>
      <c r="B50" s="401" t="s">
        <v>47</v>
      </c>
      <c r="C50" s="401"/>
      <c r="D50" s="401"/>
      <c r="E50" s="401" t="s">
        <v>158</v>
      </c>
      <c r="F50" s="401"/>
      <c r="G50" s="401"/>
      <c r="H50" s="401"/>
      <c r="I50" s="401"/>
    </row>
    <row r="51" spans="1:9" x14ac:dyDescent="0.3">
      <c r="A51" s="396"/>
      <c r="B51" s="34" t="s">
        <v>163</v>
      </c>
      <c r="C51" s="34" t="s">
        <v>38</v>
      </c>
      <c r="D51" s="34" t="s">
        <v>39</v>
      </c>
      <c r="E51" s="34" t="s">
        <v>6</v>
      </c>
      <c r="F51" s="34" t="s">
        <v>7</v>
      </c>
      <c r="G51" s="34" t="s">
        <v>8</v>
      </c>
      <c r="H51" s="34" t="s">
        <v>9</v>
      </c>
      <c r="I51" s="34" t="s">
        <v>10</v>
      </c>
    </row>
    <row r="52" spans="1:9" ht="30" customHeight="1" x14ac:dyDescent="0.3">
      <c r="A52" s="25" t="s">
        <v>48</v>
      </c>
      <c r="B52" s="359">
        <f>Option3a!$B$31*NPV_Summary!$E52+Option3a!$C$31*NPV_Summary!$F52+Option3a!$D$31*NPV_Summary!$G52+Option3a!$E$31*NPV_Summary!$H52+Option3a!$F$31*NPV_Summary!$I52-Option3a!$B$12</f>
        <v>293.68025453731468</v>
      </c>
      <c r="C52" s="359">
        <f>Option3b!$B$31*NPV_Summary!$E52+Option3b!$C$31*NPV_Summary!$F52+Option3b!$D$31*NPV_Summary!$G52+Option3b!$E$31*NPV_Summary!$H52+Option3b!$F$31*NPV_Summary!$I52-Option3b!$B$12</f>
        <v>317.37072981243205</v>
      </c>
      <c r="D52" s="359">
        <f>Option4b!$B$31*NPV_Summary!$E52+Option4b!$C$31*NPV_Summary!$F52+Option4b!$D$31*NPV_Summary!$G52+Option4b!$E$31*NPV_Summary!$H52+Option4b!$F$31*NPV_Summary!$I52-Option4b!$B$12</f>
        <v>311.26557145067318</v>
      </c>
      <c r="E52" s="156">
        <v>0.2</v>
      </c>
      <c r="F52" s="156">
        <v>0.2</v>
      </c>
      <c r="G52" s="156">
        <v>0.2</v>
      </c>
      <c r="H52" s="156">
        <v>0.2</v>
      </c>
      <c r="I52" s="156">
        <v>0.2</v>
      </c>
    </row>
    <row r="53" spans="1:9" ht="30" customHeight="1" x14ac:dyDescent="0.3">
      <c r="A53" s="360" t="s">
        <v>106</v>
      </c>
      <c r="B53" s="359">
        <f>Option3a!$B$31*NPV_Summary!$E53+Option3a!$C$31*NPV_Summary!$F53+Option3a!$D$31*NPV_Summary!$G53+Option3a!$E$31*NPV_Summary!$H53+Option3a!$F$31*NPV_Summary!$I53-Option3a!$B$12</f>
        <v>294.27789987558776</v>
      </c>
      <c r="C53" s="359">
        <f>Option3b!$B$31*NPV_Summary!$E53+Option3b!$C$31*NPV_Summary!$F53+Option3b!$D$31*NPV_Summary!$G53+Option3b!$E$31*NPV_Summary!$H53+Option3b!$F$31*NPV_Summary!$I53-Option3b!$B$12</f>
        <v>317.18812269148111</v>
      </c>
      <c r="D53" s="359">
        <f>Option4b!$B$31*NPV_Summary!$E53+Option4b!$C$31*NPV_Summary!$F53+Option4b!$D$31*NPV_Summary!$G53+Option4b!$E$31*NPV_Summary!$H53+Option4b!$F$31*NPV_Summary!$I53-Option4b!$B$12</f>
        <v>311.08458031930172</v>
      </c>
      <c r="E53" s="156">
        <v>0.158</v>
      </c>
      <c r="F53" s="156">
        <v>0.158</v>
      </c>
      <c r="G53" s="156">
        <v>0.26300000000000001</v>
      </c>
      <c r="H53" s="156">
        <v>0.26300000000000001</v>
      </c>
      <c r="I53" s="156">
        <v>0.158</v>
      </c>
    </row>
    <row r="54" spans="1:9" ht="30" customHeight="1" x14ac:dyDescent="0.3">
      <c r="A54" s="360" t="s">
        <v>108</v>
      </c>
      <c r="B54" s="359">
        <f>Option3a!$B$31*NPV_Summary!$E54+Option3a!$C$31*NPV_Summary!$F54+Option3a!$D$31*NPV_Summary!$G54+Option3a!$E$31*NPV_Summary!$H54+Option3a!$F$31*NPV_Summary!$I54-Option3a!$B$12</f>
        <v>293.13952780268659</v>
      </c>
      <c r="C54" s="359">
        <f>Option3b!$B$31*NPV_Summary!$E54+Option3b!$C$31*NPV_Summary!$F54+Option3b!$D$31*NPV_Summary!$G54+Option3b!$E$31*NPV_Summary!$H54+Option3b!$F$31*NPV_Summary!$I54-Option3b!$B$12</f>
        <v>317.53594577900685</v>
      </c>
      <c r="D54" s="359">
        <f>Option4b!$B$31*NPV_Summary!$E54+Option4b!$C$31*NPV_Summary!$F54+Option4b!$D$31*NPV_Summary!$G54+Option4b!$E$31*NPV_Summary!$H54+Option4b!$F$31*NPV_Summary!$I54-Option4b!$B$12</f>
        <v>311.42932533143789</v>
      </c>
      <c r="E54" s="156">
        <v>0.23799999999999999</v>
      </c>
      <c r="F54" s="156">
        <v>0.23799999999999999</v>
      </c>
      <c r="G54" s="156">
        <v>0.14299999999999999</v>
      </c>
      <c r="H54" s="156">
        <v>0.14299999999999999</v>
      </c>
      <c r="I54" s="156">
        <v>0.23799999999999999</v>
      </c>
    </row>
    <row r="55" spans="1:9" ht="30" customHeight="1" x14ac:dyDescent="0.3">
      <c r="A55" s="360" t="s">
        <v>107</v>
      </c>
      <c r="B55" s="359">
        <f>Option3a!$B$31*NPV_Summary!$E55+Option3a!$C$31*NPV_Summary!$F55+Option3a!$D$31*NPV_Summary!$G55+Option3a!$E$31*NPV_Summary!$H55+Option3a!$F$31*NPV_Summary!$I55-Option3a!$B$12</f>
        <v>245.40854314059965</v>
      </c>
      <c r="C55" s="359">
        <f>Option3b!$B$31*NPV_Summary!$E55+Option3b!$C$31*NPV_Summary!$F55+Option3b!$D$31*NPV_Summary!$G55+Option3b!$E$31*NPV_Summary!$H55+Option3b!$F$31*NPV_Summary!$I55-Option3b!$B$12</f>
        <v>270.05775971639321</v>
      </c>
      <c r="D55" s="359">
        <f>Option4b!$B$31*NPV_Summary!$E55+Option4b!$C$31*NPV_Summary!$F55+Option4b!$D$31*NPV_Summary!$G55+Option4b!$E$31*NPV_Summary!$H55+Option4b!$F$31*NPV_Summary!$I55-Option4b!$B$12</f>
        <v>263.95113926882414</v>
      </c>
      <c r="E55" s="156">
        <v>0.23799999999999999</v>
      </c>
      <c r="F55" s="156">
        <v>0.14299999999999999</v>
      </c>
      <c r="G55" s="156">
        <v>0.23799999999999999</v>
      </c>
      <c r="H55" s="156">
        <v>0.14299999999999999</v>
      </c>
      <c r="I55" s="156">
        <v>0.23799999999999999</v>
      </c>
    </row>
    <row r="56" spans="1:9" ht="30" customHeight="1" x14ac:dyDescent="0.3">
      <c r="A56" s="360" t="s">
        <v>109</v>
      </c>
      <c r="B56" s="359">
        <f>Option3a!$B$31*NPV_Summary!$E56+Option3a!$C$31*NPV_Summary!$F56+Option3a!$D$31*NPV_Summary!$G56+Option3a!$E$31*NPV_Summary!$H56+Option3a!$F$31*NPV_Summary!$I56-Option3a!$B$12</f>
        <v>347.03319871263113</v>
      </c>
      <c r="C56" s="359">
        <f>Option3b!$B$31*NPV_Summary!$E56+Option3b!$C$31*NPV_Summary!$F56+Option3b!$D$31*NPV_Summary!$G56+Option3b!$E$31*NPV_Summary!$H56+Option3b!$F$31*NPV_Summary!$I56-Option3b!$B$12</f>
        <v>369.66401255015933</v>
      </c>
      <c r="D56" s="359">
        <f>Option4b!$B$31*NPV_Summary!$E56+Option4b!$C$31*NPV_Summary!$F56+Option4b!$D$31*NPV_Summary!$G56+Option4b!$E$31*NPV_Summary!$H56+Option4b!$F$31*NPV_Summary!$I56-Option4b!$B$12</f>
        <v>363.56047017797994</v>
      </c>
      <c r="E56" s="156">
        <v>0.158</v>
      </c>
      <c r="F56" s="156">
        <v>0.26300000000000001</v>
      </c>
      <c r="G56" s="156">
        <v>0.158</v>
      </c>
      <c r="H56" s="156">
        <v>0.26300000000000001</v>
      </c>
      <c r="I56" s="156">
        <v>0.158</v>
      </c>
    </row>
    <row r="57" spans="1:9" ht="30" customHeight="1" x14ac:dyDescent="0.3">
      <c r="A57" s="360" t="s">
        <v>110</v>
      </c>
      <c r="B57" s="359">
        <f>Option3a!$B$31*NPV_Summary!$E57+Option3a!$C$31*NPV_Summary!$F57+Option3a!$D$31*NPV_Summary!$G57+Option3a!$E$31*NPV_Summary!$H57+Option3a!$F$31*NPV_Summary!$I57-Option3a!$B$12</f>
        <v>314.76898992539111</v>
      </c>
      <c r="C57" s="359">
        <f>Option3b!$B$31*NPV_Summary!$E57+Option3b!$C$31*NPV_Summary!$F57+Option3b!$D$31*NPV_Summary!$G57+Option3b!$E$31*NPV_Summary!$H57+Option3b!$F$31*NPV_Summary!$I57-Option3b!$B$12</f>
        <v>337.13855075112861</v>
      </c>
      <c r="D57" s="359">
        <f>Option4b!$B$31*NPV_Summary!$E57+Option4b!$C$31*NPV_Summary!$F57+Option4b!$D$31*NPV_Summary!$G57+Option4b!$E$31*NPV_Summary!$H57+Option4b!$F$31*NPV_Summary!$I57-Option4b!$B$12</f>
        <v>331.03273829834939</v>
      </c>
      <c r="E57" s="156">
        <v>0.217</v>
      </c>
      <c r="F57" s="156">
        <v>0.217</v>
      </c>
      <c r="G57" s="156">
        <v>0.217</v>
      </c>
      <c r="H57" s="156">
        <v>0.217</v>
      </c>
      <c r="I57" s="156">
        <v>0.13</v>
      </c>
    </row>
    <row r="58" spans="1:9" ht="30" customHeight="1" x14ac:dyDescent="0.3">
      <c r="A58" s="360" t="s">
        <v>111</v>
      </c>
      <c r="B58" s="359">
        <f>Option3a!$B$31*NPV_Summary!$E58+Option3a!$C$31*NPV_Summary!$F58+Option3a!$D$31*NPV_Summary!$G58+Option3a!$E$31*NPV_Summary!$H58+Option3a!$F$31*NPV_Summary!$I58-Option3a!$B$12</f>
        <v>263.10152530947636</v>
      </c>
      <c r="C58" s="359">
        <f>Option3b!$B$31*NPV_Summary!$E58+Option3b!$C$31*NPV_Summary!$F58+Option3b!$D$31*NPV_Summary!$G58+Option3b!$E$31*NPV_Summary!$H58+Option3b!$F$31*NPV_Summary!$I58-Option3b!$B$12</f>
        <v>288.46856032292146</v>
      </c>
      <c r="D58" s="359">
        <f>Option4b!$B$31*NPV_Summary!$E58+Option4b!$C$31*NPV_Summary!$F58+Option4b!$D$31*NPV_Summary!$G58+Option4b!$E$31*NPV_Summary!$H58+Option4b!$F$31*NPV_Summary!$I58-Option4b!$B$12</f>
        <v>282.36432538377949</v>
      </c>
      <c r="E58" s="156">
        <v>0.17600000000000002</v>
      </c>
      <c r="F58" s="156">
        <v>0.17600000000000002</v>
      </c>
      <c r="G58" s="156">
        <v>0.17600000000000002</v>
      </c>
      <c r="H58" s="156">
        <v>0.17600000000000002</v>
      </c>
      <c r="I58" s="156">
        <v>0.29399999999999998</v>
      </c>
    </row>
    <row r="61" spans="1:9" x14ac:dyDescent="0.3">
      <c r="A61" s="388" t="s">
        <v>176</v>
      </c>
    </row>
    <row r="62" spans="1:9" ht="38.4" customHeight="1" x14ac:dyDescent="0.3">
      <c r="A62" s="398" t="s">
        <v>5</v>
      </c>
      <c r="B62" s="399" t="s">
        <v>164</v>
      </c>
      <c r="C62" s="399"/>
      <c r="D62" s="400" t="s">
        <v>165</v>
      </c>
      <c r="E62" s="400"/>
      <c r="F62" s="400"/>
      <c r="G62" s="400"/>
    </row>
    <row r="63" spans="1:9" x14ac:dyDescent="0.3">
      <c r="A63" s="398"/>
      <c r="B63" s="399" t="s">
        <v>0</v>
      </c>
      <c r="C63" s="402" t="s">
        <v>177</v>
      </c>
      <c r="D63" s="404" t="s">
        <v>153</v>
      </c>
      <c r="E63" s="404" t="s">
        <v>178</v>
      </c>
      <c r="F63" s="404" t="s">
        <v>180</v>
      </c>
      <c r="G63" s="404" t="s">
        <v>179</v>
      </c>
    </row>
    <row r="64" spans="1:9" ht="28.8" customHeight="1" x14ac:dyDescent="0.3">
      <c r="A64" s="398"/>
      <c r="B64" s="399"/>
      <c r="C64" s="403"/>
      <c r="D64" s="405"/>
      <c r="E64" s="405"/>
      <c r="F64" s="405"/>
      <c r="G64" s="405"/>
    </row>
    <row r="65" spans="1:7" x14ac:dyDescent="0.3">
      <c r="A65" s="389" t="s">
        <v>166</v>
      </c>
      <c r="B65" s="390">
        <f>'Do Nothing'!D17</f>
        <v>569.66769599999998</v>
      </c>
      <c r="C65" s="391">
        <f>'Do Nothing'!E17</f>
        <v>35.290913767200003</v>
      </c>
      <c r="D65" s="392">
        <f>Option3b!D17</f>
        <v>0</v>
      </c>
      <c r="E65" s="393">
        <f>Option3b!E17</f>
        <v>0</v>
      </c>
      <c r="F65" s="393">
        <f>Option3b!F17</f>
        <v>0</v>
      </c>
      <c r="G65" s="393">
        <f>Option3b!G17</f>
        <v>0</v>
      </c>
    </row>
    <row r="66" spans="1:7" x14ac:dyDescent="0.3">
      <c r="A66" s="389" t="s">
        <v>167</v>
      </c>
      <c r="B66" s="390">
        <f>'Do Nothing'!D18</f>
        <v>585.85009600000001</v>
      </c>
      <c r="C66" s="391">
        <f>'Do Nothing'!E18</f>
        <v>36.293413447200003</v>
      </c>
      <c r="D66" s="392">
        <f>Option3b!D18</f>
        <v>0</v>
      </c>
      <c r="E66" s="393">
        <f>Option3b!E18</f>
        <v>0</v>
      </c>
      <c r="F66" s="393">
        <f>Option3b!F18</f>
        <v>0</v>
      </c>
      <c r="G66" s="393">
        <f>Option3b!G18</f>
        <v>0</v>
      </c>
    </row>
    <row r="67" spans="1:7" x14ac:dyDescent="0.3">
      <c r="A67" s="389" t="s">
        <v>168</v>
      </c>
      <c r="B67" s="390">
        <f>'Do Nothing'!D19</f>
        <v>616.30628799999977</v>
      </c>
      <c r="C67" s="391">
        <f>'Do Nothing'!E19</f>
        <v>38.180174541599989</v>
      </c>
      <c r="D67" s="392">
        <f>Option3b!D19</f>
        <v>107.95287999999982</v>
      </c>
      <c r="E67" s="393">
        <f>Option3b!E19</f>
        <v>6.687680915999989</v>
      </c>
      <c r="F67" s="393">
        <f>Option3b!F19</f>
        <v>7.3355648648621694E-2</v>
      </c>
      <c r="G67" s="393">
        <f>Option3b!G19</f>
        <v>6.6143252673513677</v>
      </c>
    </row>
    <row r="68" spans="1:7" x14ac:dyDescent="0.3">
      <c r="A68" s="389" t="s">
        <v>169</v>
      </c>
      <c r="B68" s="390">
        <f>'Do Nothing'!D20</f>
        <v>751.47993600000029</v>
      </c>
      <c r="C68" s="391">
        <f>'Do Nothing'!E20</f>
        <v>46.554182035200022</v>
      </c>
      <c r="D68" s="392">
        <f>Option3b!D20</f>
        <v>156.99766400000044</v>
      </c>
      <c r="E68" s="393">
        <f>Option3b!E20</f>
        <v>9.726005284800026</v>
      </c>
      <c r="F68" s="393">
        <f>Option3b!F20</f>
        <v>7.3355648648621694E-2</v>
      </c>
      <c r="G68" s="393">
        <f>Option3b!G20</f>
        <v>9.6526496361514038</v>
      </c>
    </row>
    <row r="69" spans="1:7" x14ac:dyDescent="0.3">
      <c r="A69" s="389" t="s">
        <v>170</v>
      </c>
      <c r="B69" s="390">
        <f>'Do Nothing'!D21</f>
        <v>814.47940799999935</v>
      </c>
      <c r="C69" s="391">
        <f>'Do Nothing'!E21</f>
        <v>50.456999325599966</v>
      </c>
      <c r="D69" s="392">
        <f>Option3b!D21</f>
        <v>631.37591999999904</v>
      </c>
      <c r="E69" s="393">
        <f>Option3b!E21</f>
        <v>39.11373824399994</v>
      </c>
      <c r="F69" s="393">
        <f>Option3b!F21</f>
        <v>3.4721673693680937</v>
      </c>
      <c r="G69" s="393">
        <f>Option3b!G21</f>
        <v>35.641570874631846</v>
      </c>
    </row>
    <row r="70" spans="1:7" x14ac:dyDescent="0.3">
      <c r="A70" s="389" t="s">
        <v>171</v>
      </c>
      <c r="B70" s="390">
        <f>'Do Nothing'!D22</f>
        <v>824.52467199999933</v>
      </c>
      <c r="C70" s="391">
        <f>'Do Nothing'!E22</f>
        <v>51.07930343039996</v>
      </c>
      <c r="D70" s="392">
        <f>Option3b!D22</f>
        <v>691.36847999999895</v>
      </c>
      <c r="E70" s="393">
        <f>Option3b!E22</f>
        <v>42.830277335999931</v>
      </c>
      <c r="F70" s="393">
        <f>Option3b!F22</f>
        <v>3.4721673693680937</v>
      </c>
      <c r="G70" s="393">
        <f>Option3b!G22</f>
        <v>39.358109966631837</v>
      </c>
    </row>
    <row r="71" spans="1:7" x14ac:dyDescent="0.3">
      <c r="A71" s="389" t="s">
        <v>172</v>
      </c>
      <c r="B71" s="390">
        <f>'Do Nothing'!D23</f>
        <v>954.01321599999983</v>
      </c>
      <c r="C71" s="391">
        <f>'Do Nothing'!E23</f>
        <v>59.101118731199989</v>
      </c>
      <c r="D71" s="392">
        <f>Option3b!D23</f>
        <v>954.94361599999911</v>
      </c>
      <c r="E71" s="393">
        <f>Option3b!E23</f>
        <v>59.158757011199945</v>
      </c>
      <c r="F71" s="393">
        <f>Option3b!F23</f>
        <v>12.910594162157418</v>
      </c>
      <c r="G71" s="393">
        <f>Option3b!G23</f>
        <v>46.248162849042529</v>
      </c>
    </row>
    <row r="72" spans="1:7" x14ac:dyDescent="0.3">
      <c r="A72" s="389" t="s">
        <v>173</v>
      </c>
      <c r="B72" s="390">
        <f>'Do Nothing'!D24</f>
        <v>1061.7678560000008</v>
      </c>
      <c r="C72" s="391">
        <f>'Do Nothing'!E24</f>
        <v>65.776518679200066</v>
      </c>
      <c r="D72" s="392">
        <f>Option3b!D24</f>
        <v>1059.4221279999995</v>
      </c>
      <c r="E72" s="393">
        <f>Option3b!E24</f>
        <v>65.631200829599976</v>
      </c>
      <c r="F72" s="393">
        <f>Option3b!F24</f>
        <v>12.910594162157418</v>
      </c>
      <c r="G72" s="393">
        <f>Option3b!G24</f>
        <v>52.72060666744256</v>
      </c>
    </row>
    <row r="73" spans="1:7" x14ac:dyDescent="0.3">
      <c r="A73" s="389" t="s">
        <v>174</v>
      </c>
      <c r="B73" s="390">
        <f>'Do Nothing'!D25</f>
        <v>994.57278399999893</v>
      </c>
      <c r="C73" s="391">
        <f>'Do Nothing'!E25</f>
        <v>61.613783968799936</v>
      </c>
      <c r="D73" s="392">
        <f>Option3b!D25</f>
        <v>984.85831999999948</v>
      </c>
      <c r="E73" s="393">
        <f>Option3b!E25</f>
        <v>61.01197292399997</v>
      </c>
      <c r="F73" s="393">
        <f>Option3b!F25</f>
        <v>12.910594162157418</v>
      </c>
      <c r="G73" s="393">
        <f>Option3b!G25</f>
        <v>48.101378761842554</v>
      </c>
    </row>
    <row r="74" spans="1:7" x14ac:dyDescent="0.3">
      <c r="A74" s="389" t="s">
        <v>175</v>
      </c>
      <c r="B74" s="390">
        <f>'Do Nothing'!D26</f>
        <v>1239.6153600000007</v>
      </c>
      <c r="C74" s="391">
        <f>'Do Nothing'!E26</f>
        <v>76.794171552000037</v>
      </c>
      <c r="D74" s="392">
        <f>Option3b!D26</f>
        <v>1179.8885600000006</v>
      </c>
      <c r="E74" s="393">
        <f>Option3b!E26</f>
        <v>73.094096292000032</v>
      </c>
      <c r="F74" s="393">
        <f>Option3b!F26</f>
        <v>12.910594162157418</v>
      </c>
      <c r="G74" s="393">
        <f>Option3b!G26</f>
        <v>60.183502129842616</v>
      </c>
    </row>
  </sheetData>
  <mergeCells count="17">
    <mergeCell ref="A62:A64"/>
    <mergeCell ref="B62:C62"/>
    <mergeCell ref="D62:G62"/>
    <mergeCell ref="B63:B64"/>
    <mergeCell ref="E50:I50"/>
    <mergeCell ref="B50:D50"/>
    <mergeCell ref="A50:A51"/>
    <mergeCell ref="C63:C64"/>
    <mergeCell ref="D63:D64"/>
    <mergeCell ref="E63:E64"/>
    <mergeCell ref="F63:F64"/>
    <mergeCell ref="G63:G64"/>
    <mergeCell ref="G3:G4"/>
    <mergeCell ref="A34:A35"/>
    <mergeCell ref="B34:C34"/>
    <mergeCell ref="D34:E34"/>
    <mergeCell ref="F34:G34"/>
  </mergeCells>
  <conditionalFormatting sqref="E20:E30">
    <cfRule type="top10" dxfId="13" priority="115" bottom="1" rank="1"/>
  </conditionalFormatting>
  <conditionalFormatting sqref="B36:B46">
    <cfRule type="top10" dxfId="12" priority="13" rank="1"/>
  </conditionalFormatting>
  <conditionalFormatting sqref="C36:C46">
    <cfRule type="top10" dxfId="11" priority="12" rank="1"/>
  </conditionalFormatting>
  <conditionalFormatting sqref="D36:D46">
    <cfRule type="top10" dxfId="10" priority="11" rank="1"/>
  </conditionalFormatting>
  <conditionalFormatting sqref="E36:E46">
    <cfRule type="top10" dxfId="9" priority="10" rank="1"/>
  </conditionalFormatting>
  <conditionalFormatting sqref="F36:F46">
    <cfRule type="top10" dxfId="8" priority="9" rank="1"/>
  </conditionalFormatting>
  <conditionalFormatting sqref="G36:G46">
    <cfRule type="top10" dxfId="7" priority="8" rank="1"/>
  </conditionalFormatting>
  <conditionalFormatting sqref="B52:D52">
    <cfRule type="top10" dxfId="6" priority="7" rank="1"/>
  </conditionalFormatting>
  <conditionalFormatting sqref="B53:D53">
    <cfRule type="top10" dxfId="5" priority="6" rank="1"/>
  </conditionalFormatting>
  <conditionalFormatting sqref="B54:D54">
    <cfRule type="top10" dxfId="4" priority="5" rank="1"/>
  </conditionalFormatting>
  <conditionalFormatting sqref="B55:D55">
    <cfRule type="top10" dxfId="3" priority="4" rank="1"/>
  </conditionalFormatting>
  <conditionalFormatting sqref="B56:D56">
    <cfRule type="top10" dxfId="2" priority="3" rank="1"/>
  </conditionalFormatting>
  <conditionalFormatting sqref="B57:D57">
    <cfRule type="top10" dxfId="1" priority="2" rank="1"/>
  </conditionalFormatting>
  <conditionalFormatting sqref="B58:D58">
    <cfRule type="top10" dxfId="0" priority="1" rank="1"/>
  </conditionalFormatting>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99"/>
  <sheetViews>
    <sheetView zoomScale="70" zoomScaleNormal="70" workbookViewId="0">
      <selection activeCell="G21" sqref="G21"/>
    </sheetView>
  </sheetViews>
  <sheetFormatPr defaultRowHeight="14.4" x14ac:dyDescent="0.3"/>
  <cols>
    <col min="1" max="1" width="38.77734375" style="125" customWidth="1"/>
    <col min="2" max="7" width="15.77734375" style="125" customWidth="1"/>
    <col min="8" max="12" width="10.77734375" style="125" customWidth="1"/>
    <col min="13" max="16384" width="8.88671875" style="125"/>
  </cols>
  <sheetData>
    <row r="2" spans="1:13" x14ac:dyDescent="0.3">
      <c r="A2" s="127" t="s">
        <v>77</v>
      </c>
    </row>
    <row r="3" spans="1:13" x14ac:dyDescent="0.3">
      <c r="A3" s="127"/>
    </row>
    <row r="5" spans="1:13" x14ac:dyDescent="0.3">
      <c r="A5" s="65" t="s">
        <v>3</v>
      </c>
      <c r="B5" s="128">
        <v>61.95</v>
      </c>
      <c r="C5" s="71"/>
      <c r="D5" s="71"/>
    </row>
    <row r="6" spans="1:13" x14ac:dyDescent="0.3">
      <c r="A6" s="66" t="s">
        <v>2</v>
      </c>
      <c r="B6" s="129">
        <v>0.1</v>
      </c>
      <c r="C6" s="115"/>
      <c r="D6" s="115"/>
    </row>
    <row r="7" spans="1:13" x14ac:dyDescent="0.3">
      <c r="A7" s="66" t="s">
        <v>1</v>
      </c>
      <c r="B7" s="130">
        <v>40</v>
      </c>
      <c r="C7" s="114"/>
      <c r="D7" s="114"/>
    </row>
    <row r="8" spans="1:13" x14ac:dyDescent="0.3">
      <c r="A8" s="66" t="s">
        <v>6</v>
      </c>
      <c r="B8" s="129">
        <v>0.2</v>
      </c>
      <c r="C8" s="70"/>
      <c r="D8" s="70"/>
    </row>
    <row r="9" spans="1:13" x14ac:dyDescent="0.3">
      <c r="A9" s="66" t="s">
        <v>7</v>
      </c>
      <c r="B9" s="129">
        <v>0.2</v>
      </c>
      <c r="C9" s="70"/>
      <c r="D9" s="70"/>
    </row>
    <row r="10" spans="1:13" x14ac:dyDescent="0.3">
      <c r="A10" s="66" t="s">
        <v>8</v>
      </c>
      <c r="B10" s="129">
        <v>0.2</v>
      </c>
      <c r="C10" s="70"/>
      <c r="D10" s="70"/>
    </row>
    <row r="11" spans="1:13" x14ac:dyDescent="0.3">
      <c r="A11" s="66" t="s">
        <v>9</v>
      </c>
      <c r="B11" s="129">
        <v>0.2</v>
      </c>
      <c r="C11" s="39"/>
      <c r="D11" s="39"/>
    </row>
    <row r="12" spans="1:13" x14ac:dyDescent="0.3">
      <c r="A12" s="67" t="s">
        <v>10</v>
      </c>
      <c r="B12" s="131">
        <v>0.2</v>
      </c>
      <c r="C12" s="39"/>
      <c r="D12" s="39"/>
    </row>
    <row r="13" spans="1:13" x14ac:dyDescent="0.3">
      <c r="A13" s="133"/>
      <c r="B13" s="47"/>
      <c r="C13" s="39"/>
      <c r="D13" s="39"/>
    </row>
    <row r="15" spans="1:13" ht="15.6" x14ac:dyDescent="0.3">
      <c r="A15" s="397" t="s">
        <v>57</v>
      </c>
      <c r="B15" s="397"/>
      <c r="C15" s="397"/>
      <c r="D15" s="397"/>
      <c r="E15" s="397"/>
      <c r="H15" s="407"/>
      <c r="I15" s="407"/>
      <c r="J15" s="407"/>
      <c r="K15" s="407"/>
      <c r="L15" s="407"/>
      <c r="M15" s="133"/>
    </row>
    <row r="16" spans="1:13" s="132" customFormat="1" ht="43.2" x14ac:dyDescent="0.3">
      <c r="A16" s="126" t="s">
        <v>5</v>
      </c>
      <c r="B16" s="51" t="s">
        <v>75</v>
      </c>
      <c r="C16" s="51" t="s">
        <v>51</v>
      </c>
      <c r="D16" s="50" t="s">
        <v>0</v>
      </c>
      <c r="E16" s="51" t="s">
        <v>76</v>
      </c>
      <c r="F16" s="35"/>
      <c r="H16" s="36"/>
      <c r="I16" s="37"/>
      <c r="J16" s="37"/>
      <c r="K16" s="37"/>
      <c r="L16" s="38"/>
      <c r="M16" s="39"/>
    </row>
    <row r="17" spans="1:13" s="132" customFormat="1" x14ac:dyDescent="0.3">
      <c r="A17" s="72" t="s">
        <v>64</v>
      </c>
      <c r="B17" s="40">
        <f>MAX(B32,B46,B60,B74,B88)</f>
        <v>552.92999999999995</v>
      </c>
      <c r="C17" s="40">
        <f>MAX(C32,C46,C60,C74,C88)</f>
        <v>8766.4100000000017</v>
      </c>
      <c r="D17" s="40">
        <f>$B$8*D32+$B$9*D46+$B$10*D60+$B$11*D74+$B$12*D88</f>
        <v>7424.3000000000011</v>
      </c>
      <c r="E17" s="41">
        <f t="shared" ref="E17:E26" si="0">D17*$B$5/1000</f>
        <v>459.93538500000005</v>
      </c>
      <c r="F17" s="43"/>
      <c r="H17" s="44"/>
      <c r="I17" s="45"/>
      <c r="J17" s="45"/>
      <c r="K17" s="45"/>
      <c r="L17" s="33"/>
      <c r="M17" s="39"/>
    </row>
    <row r="18" spans="1:13" s="132" customFormat="1" x14ac:dyDescent="0.3">
      <c r="A18" s="72" t="s">
        <v>65</v>
      </c>
      <c r="B18" s="40">
        <f t="shared" ref="B18:C26" si="1">MAX(B33,B47,B61,B75,B89)</f>
        <v>601.99</v>
      </c>
      <c r="C18" s="40">
        <f t="shared" si="1"/>
        <v>8933.68</v>
      </c>
      <c r="D18" s="40">
        <f t="shared" ref="D18:D26" si="2">$B$8*D33+$B$9*D47+$B$10*D61+$B$11*D75+$B$12*D89</f>
        <v>7298.965056</v>
      </c>
      <c r="E18" s="41">
        <f t="shared" si="0"/>
        <v>452.17088521920004</v>
      </c>
      <c r="F18" s="43"/>
      <c r="H18" s="44"/>
      <c r="I18" s="45"/>
      <c r="J18" s="45"/>
      <c r="K18" s="45"/>
      <c r="L18" s="33"/>
      <c r="M18" s="39"/>
    </row>
    <row r="19" spans="1:13" s="132" customFormat="1" x14ac:dyDescent="0.3">
      <c r="A19" s="72" t="s">
        <v>66</v>
      </c>
      <c r="B19" s="40">
        <f t="shared" si="1"/>
        <v>667.90000000000009</v>
      </c>
      <c r="C19" s="40">
        <f t="shared" si="1"/>
        <v>9328.9200000000019</v>
      </c>
      <c r="D19" s="40">
        <f t="shared" si="2"/>
        <v>7463.3884000000007</v>
      </c>
      <c r="E19" s="41">
        <f t="shared" si="0"/>
        <v>462.35691138000004</v>
      </c>
      <c r="F19" s="43"/>
      <c r="H19" s="44"/>
      <c r="I19" s="45"/>
      <c r="J19" s="45"/>
      <c r="K19" s="45"/>
      <c r="L19" s="33"/>
      <c r="M19" s="39"/>
    </row>
    <row r="20" spans="1:13" s="132" customFormat="1" x14ac:dyDescent="0.3">
      <c r="A20" s="72" t="s">
        <v>67</v>
      </c>
      <c r="B20" s="40">
        <f t="shared" si="1"/>
        <v>751.47</v>
      </c>
      <c r="C20" s="40">
        <f t="shared" si="1"/>
        <v>9659.3700000000008</v>
      </c>
      <c r="D20" s="40">
        <f t="shared" si="2"/>
        <v>7543.2763360000008</v>
      </c>
      <c r="E20" s="41">
        <f t="shared" si="0"/>
        <v>467.30596901520011</v>
      </c>
      <c r="F20" s="43"/>
      <c r="H20" s="44"/>
      <c r="I20" s="45"/>
      <c r="J20" s="45"/>
      <c r="K20" s="45"/>
      <c r="L20" s="33"/>
      <c r="M20" s="39"/>
    </row>
    <row r="21" spans="1:13" s="132" customFormat="1" x14ac:dyDescent="0.3">
      <c r="A21" s="72" t="s">
        <v>68</v>
      </c>
      <c r="B21" s="40">
        <f t="shared" si="1"/>
        <v>1061</v>
      </c>
      <c r="C21" s="40">
        <f t="shared" si="1"/>
        <v>10366.07</v>
      </c>
      <c r="D21" s="40">
        <f t="shared" si="2"/>
        <v>7717.5196319999995</v>
      </c>
      <c r="E21" s="41">
        <f t="shared" si="0"/>
        <v>478.10034120239999</v>
      </c>
      <c r="F21" s="43"/>
      <c r="H21" s="44"/>
      <c r="I21" s="45"/>
      <c r="J21" s="45"/>
      <c r="K21" s="45"/>
      <c r="L21" s="33"/>
      <c r="M21" s="39"/>
    </row>
    <row r="22" spans="1:13" s="132" customFormat="1" x14ac:dyDescent="0.3">
      <c r="A22" s="72" t="s">
        <v>69</v>
      </c>
      <c r="B22" s="40">
        <f t="shared" si="1"/>
        <v>1103.45</v>
      </c>
      <c r="C22" s="40">
        <f t="shared" si="1"/>
        <v>10929.8</v>
      </c>
      <c r="D22" s="40">
        <f t="shared" si="2"/>
        <v>8032.3922240000011</v>
      </c>
      <c r="E22" s="41">
        <f t="shared" si="0"/>
        <v>497.6066982768001</v>
      </c>
      <c r="F22" s="43"/>
      <c r="H22" s="44"/>
      <c r="I22" s="45"/>
      <c r="J22" s="45"/>
      <c r="K22" s="45"/>
      <c r="L22" s="33"/>
      <c r="M22" s="39"/>
    </row>
    <row r="23" spans="1:13" s="132" customFormat="1" x14ac:dyDescent="0.3">
      <c r="A23" s="72" t="s">
        <v>70</v>
      </c>
      <c r="B23" s="40">
        <f t="shared" si="1"/>
        <v>1325.58</v>
      </c>
      <c r="C23" s="40">
        <f t="shared" si="1"/>
        <v>12312.179999999997</v>
      </c>
      <c r="D23" s="40">
        <f t="shared" si="2"/>
        <v>8369.8575999999994</v>
      </c>
      <c r="E23" s="41">
        <f t="shared" si="0"/>
        <v>518.51267831999996</v>
      </c>
      <c r="F23" s="43"/>
      <c r="H23" s="44"/>
      <c r="I23" s="45"/>
      <c r="J23" s="45"/>
      <c r="K23" s="45"/>
      <c r="L23" s="33"/>
      <c r="M23" s="39"/>
    </row>
    <row r="24" spans="1:13" s="132" customFormat="1" x14ac:dyDescent="0.3">
      <c r="A24" s="72" t="s">
        <v>71</v>
      </c>
      <c r="B24" s="40">
        <f t="shared" si="1"/>
        <v>1282.9299999999998</v>
      </c>
      <c r="C24" s="40">
        <f t="shared" si="1"/>
        <v>13541.259999999998</v>
      </c>
      <c r="D24" s="40">
        <f t="shared" si="2"/>
        <v>8717.1926879999992</v>
      </c>
      <c r="E24" s="41">
        <f t="shared" si="0"/>
        <v>540.03008702160002</v>
      </c>
      <c r="F24" s="43"/>
      <c r="H24" s="44"/>
      <c r="I24" s="45"/>
      <c r="J24" s="45"/>
      <c r="K24" s="45"/>
      <c r="L24" s="33"/>
      <c r="M24" s="39"/>
    </row>
    <row r="25" spans="1:13" s="132" customFormat="1" x14ac:dyDescent="0.3">
      <c r="A25" s="72" t="s">
        <v>72</v>
      </c>
      <c r="B25" s="40">
        <f t="shared" si="1"/>
        <v>1546.1300000000003</v>
      </c>
      <c r="C25" s="40">
        <f t="shared" si="1"/>
        <v>15714.169999999998</v>
      </c>
      <c r="D25" s="40">
        <f t="shared" si="2"/>
        <v>9146.2520160000004</v>
      </c>
      <c r="E25" s="41">
        <f t="shared" si="0"/>
        <v>566.61031239120007</v>
      </c>
      <c r="F25" s="43"/>
      <c r="H25" s="44"/>
      <c r="I25" s="45"/>
      <c r="J25" s="45"/>
      <c r="K25" s="45"/>
      <c r="L25" s="33"/>
      <c r="M25" s="39"/>
    </row>
    <row r="26" spans="1:13" s="132" customFormat="1" x14ac:dyDescent="0.3">
      <c r="A26" s="72" t="s">
        <v>73</v>
      </c>
      <c r="B26" s="40">
        <f t="shared" si="1"/>
        <v>1736.2099999999998</v>
      </c>
      <c r="C26" s="40">
        <f t="shared" si="1"/>
        <v>18335.349999999999</v>
      </c>
      <c r="D26" s="40">
        <f t="shared" si="2"/>
        <v>9846.0198240000009</v>
      </c>
      <c r="E26" s="41">
        <f t="shared" si="0"/>
        <v>609.9609280968001</v>
      </c>
      <c r="F26" s="43"/>
      <c r="H26" s="44"/>
      <c r="I26" s="45"/>
      <c r="J26" s="45"/>
      <c r="K26" s="45"/>
      <c r="L26" s="33"/>
      <c r="M26" s="39"/>
    </row>
    <row r="27" spans="1:13" s="132" customFormat="1" x14ac:dyDescent="0.3">
      <c r="F27" s="47"/>
      <c r="G27" s="39"/>
      <c r="H27" s="39"/>
      <c r="L27" s="45"/>
    </row>
    <row r="28" spans="1:13" s="132" customFormat="1" x14ac:dyDescent="0.3">
      <c r="F28" s="47"/>
      <c r="G28" s="39"/>
      <c r="H28" s="39"/>
      <c r="L28" s="45"/>
    </row>
    <row r="29" spans="1:13" s="132" customFormat="1" x14ac:dyDescent="0.3"/>
    <row r="30" spans="1:13" s="132" customFormat="1" ht="15.6" x14ac:dyDescent="0.3">
      <c r="A30" s="406" t="s">
        <v>59</v>
      </c>
      <c r="B30" s="406"/>
      <c r="C30" s="406"/>
      <c r="D30" s="406"/>
      <c r="E30" s="406"/>
    </row>
    <row r="31" spans="1:13" s="132" customFormat="1" ht="43.2" x14ac:dyDescent="0.3">
      <c r="A31" s="126" t="s">
        <v>5</v>
      </c>
      <c r="B31" s="51" t="s">
        <v>75</v>
      </c>
      <c r="C31" s="51" t="s">
        <v>51</v>
      </c>
      <c r="D31" s="50" t="s">
        <v>0</v>
      </c>
      <c r="E31" s="51" t="s">
        <v>58</v>
      </c>
    </row>
    <row r="32" spans="1:13" s="132" customFormat="1" x14ac:dyDescent="0.3">
      <c r="A32" s="72" t="s">
        <v>64</v>
      </c>
      <c r="B32" s="40">
        <v>552.92999999999995</v>
      </c>
      <c r="C32" s="40">
        <v>8766.4100000000017</v>
      </c>
      <c r="D32" s="350">
        <v>7453.5</v>
      </c>
      <c r="E32" s="40">
        <f t="shared" ref="E32:E41" si="3">D32*$B$5</f>
        <v>461744.32500000001</v>
      </c>
      <c r="I32" s="53"/>
    </row>
    <row r="33" spans="1:5" s="132" customFormat="1" x14ac:dyDescent="0.3">
      <c r="A33" s="72" t="s">
        <v>65</v>
      </c>
      <c r="B33" s="40">
        <v>600.73</v>
      </c>
      <c r="C33" s="40">
        <v>8930.4200000000019</v>
      </c>
      <c r="D33" s="40">
        <v>7327.733839999999</v>
      </c>
      <c r="E33" s="40">
        <f t="shared" si="3"/>
        <v>453953.11138799996</v>
      </c>
    </row>
    <row r="34" spans="1:5" s="132" customFormat="1" x14ac:dyDescent="0.3">
      <c r="A34" s="72" t="s">
        <v>66</v>
      </c>
      <c r="B34" s="40">
        <v>662.25</v>
      </c>
      <c r="C34" s="40">
        <v>9319.4900000000016</v>
      </c>
      <c r="D34" s="40">
        <v>7558.6795999999995</v>
      </c>
      <c r="E34" s="40">
        <f t="shared" si="3"/>
        <v>468260.20121999999</v>
      </c>
    </row>
    <row r="35" spans="1:5" s="132" customFormat="1" x14ac:dyDescent="0.3">
      <c r="A35" s="72" t="s">
        <v>67</v>
      </c>
      <c r="B35" s="40">
        <v>697.22</v>
      </c>
      <c r="C35" s="40">
        <v>9473.92</v>
      </c>
      <c r="D35" s="40">
        <v>7580.9322399999992</v>
      </c>
      <c r="E35" s="40">
        <f t="shared" si="3"/>
        <v>469638.75226799998</v>
      </c>
    </row>
    <row r="36" spans="1:5" s="132" customFormat="1" x14ac:dyDescent="0.3">
      <c r="A36" s="72" t="s">
        <v>68</v>
      </c>
      <c r="B36" s="40">
        <v>798.57</v>
      </c>
      <c r="C36" s="40">
        <v>9831.2000000000025</v>
      </c>
      <c r="D36" s="40">
        <v>7704.2309599999999</v>
      </c>
      <c r="E36" s="40">
        <f t="shared" si="3"/>
        <v>477277.10797200003</v>
      </c>
    </row>
    <row r="37" spans="1:5" s="132" customFormat="1" x14ac:dyDescent="0.3">
      <c r="A37" s="72" t="s">
        <v>69</v>
      </c>
      <c r="B37" s="40">
        <v>923.06999999999994</v>
      </c>
      <c r="C37" s="40">
        <v>10650.400000000001</v>
      </c>
      <c r="D37" s="40">
        <v>8136.8864799999992</v>
      </c>
      <c r="E37" s="40">
        <f t="shared" si="3"/>
        <v>504080.11743599997</v>
      </c>
    </row>
    <row r="38" spans="1:5" s="132" customFormat="1" x14ac:dyDescent="0.3">
      <c r="A38" s="72" t="s">
        <v>70</v>
      </c>
      <c r="B38" s="40">
        <v>1046.82</v>
      </c>
      <c r="C38" s="40">
        <v>11856.52</v>
      </c>
      <c r="D38" s="40">
        <v>8609.6312799999996</v>
      </c>
      <c r="E38" s="40">
        <f t="shared" si="3"/>
        <v>533366.65779600001</v>
      </c>
    </row>
    <row r="39" spans="1:5" s="132" customFormat="1" x14ac:dyDescent="0.3">
      <c r="A39" s="72" t="s">
        <v>71</v>
      </c>
      <c r="B39" s="40">
        <v>1091</v>
      </c>
      <c r="C39" s="40">
        <v>13066.449999999997</v>
      </c>
      <c r="D39" s="40">
        <v>9042.4633599999979</v>
      </c>
      <c r="E39" s="40">
        <f t="shared" si="3"/>
        <v>560180.60515199986</v>
      </c>
    </row>
    <row r="40" spans="1:5" s="132" customFormat="1" x14ac:dyDescent="0.3">
      <c r="A40" s="72" t="s">
        <v>72</v>
      </c>
      <c r="B40" s="40">
        <v>1023.9300000000001</v>
      </c>
      <c r="C40" s="40">
        <v>14354.52</v>
      </c>
      <c r="D40" s="40">
        <v>9482.3320800000001</v>
      </c>
      <c r="E40" s="40">
        <f t="shared" si="3"/>
        <v>587430.47235599998</v>
      </c>
    </row>
    <row r="41" spans="1:5" s="132" customFormat="1" x14ac:dyDescent="0.3">
      <c r="A41" s="72" t="s">
        <v>73</v>
      </c>
      <c r="B41" s="40">
        <v>1228.4499999999998</v>
      </c>
      <c r="C41" s="40">
        <v>16738.879999999997</v>
      </c>
      <c r="D41" s="40">
        <v>10443.198079999998</v>
      </c>
      <c r="E41" s="40">
        <f t="shared" si="3"/>
        <v>646956.12105599989</v>
      </c>
    </row>
    <row r="42" spans="1:5" s="132" customFormat="1" x14ac:dyDescent="0.3"/>
    <row r="43" spans="1:5" s="132" customFormat="1" x14ac:dyDescent="0.3"/>
    <row r="44" spans="1:5" s="132" customFormat="1" ht="15.6" x14ac:dyDescent="0.3">
      <c r="A44" s="406" t="s">
        <v>60</v>
      </c>
      <c r="B44" s="406"/>
      <c r="C44" s="406"/>
      <c r="D44" s="406"/>
      <c r="E44" s="406"/>
    </row>
    <row r="45" spans="1:5" s="132" customFormat="1" ht="43.2" x14ac:dyDescent="0.3">
      <c r="A45" s="126" t="s">
        <v>5</v>
      </c>
      <c r="B45" s="51" t="s">
        <v>75</v>
      </c>
      <c r="C45" s="51" t="s">
        <v>51</v>
      </c>
      <c r="D45" s="50" t="s">
        <v>0</v>
      </c>
      <c r="E45" s="51" t="s">
        <v>58</v>
      </c>
    </row>
    <row r="46" spans="1:5" s="132" customFormat="1" x14ac:dyDescent="0.3">
      <c r="A46" s="72" t="s">
        <v>64</v>
      </c>
      <c r="B46" s="40">
        <v>552.92999999999995</v>
      </c>
      <c r="C46" s="40">
        <v>8766.4100000000017</v>
      </c>
      <c r="D46" s="350">
        <v>7372.5</v>
      </c>
      <c r="E46" s="40">
        <f t="shared" ref="E46:E55" si="4">D46*$B$5</f>
        <v>456726.375</v>
      </c>
    </row>
    <row r="47" spans="1:5" s="132" customFormat="1" x14ac:dyDescent="0.3">
      <c r="A47" s="72" t="s">
        <v>65</v>
      </c>
      <c r="B47" s="40">
        <v>601.99</v>
      </c>
      <c r="C47" s="40">
        <v>8933.68</v>
      </c>
      <c r="D47" s="40">
        <v>7328.265519999999</v>
      </c>
      <c r="E47" s="40">
        <f t="shared" si="4"/>
        <v>453986.04896399996</v>
      </c>
    </row>
    <row r="48" spans="1:5" s="132" customFormat="1" x14ac:dyDescent="0.3">
      <c r="A48" s="72" t="s">
        <v>66</v>
      </c>
      <c r="B48" s="40">
        <v>667.90000000000009</v>
      </c>
      <c r="C48" s="40">
        <v>9328.9200000000019</v>
      </c>
      <c r="D48" s="40">
        <v>7558.6231200000002</v>
      </c>
      <c r="E48" s="40">
        <f t="shared" si="4"/>
        <v>468256.70228400006</v>
      </c>
    </row>
    <row r="49" spans="1:5" s="132" customFormat="1" x14ac:dyDescent="0.3">
      <c r="A49" s="72" t="s">
        <v>67</v>
      </c>
      <c r="B49" s="40">
        <v>751.47</v>
      </c>
      <c r="C49" s="40">
        <v>9659.3700000000008</v>
      </c>
      <c r="D49" s="40">
        <v>7748.752559999999</v>
      </c>
      <c r="E49" s="40">
        <f t="shared" si="4"/>
        <v>480035.22109199996</v>
      </c>
    </row>
    <row r="50" spans="1:5" s="132" customFormat="1" x14ac:dyDescent="0.3">
      <c r="A50" s="72" t="s">
        <v>68</v>
      </c>
      <c r="B50" s="40">
        <v>1061</v>
      </c>
      <c r="C50" s="40">
        <v>10366.07</v>
      </c>
      <c r="D50" s="40">
        <v>8075.0815999999995</v>
      </c>
      <c r="E50" s="40">
        <f t="shared" si="4"/>
        <v>500251.30511999998</v>
      </c>
    </row>
    <row r="51" spans="1:5" s="132" customFormat="1" x14ac:dyDescent="0.3">
      <c r="A51" s="72" t="s">
        <v>69</v>
      </c>
      <c r="B51" s="40">
        <v>1103.45</v>
      </c>
      <c r="C51" s="40">
        <v>10929.8</v>
      </c>
      <c r="D51" s="40">
        <v>8424.3113599999997</v>
      </c>
      <c r="E51" s="40">
        <f t="shared" si="4"/>
        <v>521886.08875200001</v>
      </c>
    </row>
    <row r="52" spans="1:5" s="132" customFormat="1" x14ac:dyDescent="0.3">
      <c r="A52" s="72" t="s">
        <v>70</v>
      </c>
      <c r="B52" s="40">
        <v>1325.58</v>
      </c>
      <c r="C52" s="40">
        <v>12312.179999999997</v>
      </c>
      <c r="D52" s="40">
        <v>8880.3779999999988</v>
      </c>
      <c r="E52" s="40">
        <f t="shared" si="4"/>
        <v>550139.41709999996</v>
      </c>
    </row>
    <row r="53" spans="1:5" s="132" customFormat="1" x14ac:dyDescent="0.3">
      <c r="A53" s="72" t="s">
        <v>71</v>
      </c>
      <c r="B53" s="40">
        <v>1282.9299999999998</v>
      </c>
      <c r="C53" s="40">
        <v>13541.259999999998</v>
      </c>
      <c r="D53" s="40">
        <v>9345.0899199999985</v>
      </c>
      <c r="E53" s="40">
        <f t="shared" si="4"/>
        <v>578928.3205439999</v>
      </c>
    </row>
    <row r="54" spans="1:5" s="132" customFormat="1" x14ac:dyDescent="0.3">
      <c r="A54" s="72" t="s">
        <v>72</v>
      </c>
      <c r="B54" s="40">
        <v>1546.1300000000003</v>
      </c>
      <c r="C54" s="40">
        <v>15714.169999999998</v>
      </c>
      <c r="D54" s="40">
        <v>10430.367679999999</v>
      </c>
      <c r="E54" s="40">
        <f t="shared" si="4"/>
        <v>646161.27777599997</v>
      </c>
    </row>
    <row r="55" spans="1:5" s="132" customFormat="1" x14ac:dyDescent="0.3">
      <c r="A55" s="72" t="s">
        <v>73</v>
      </c>
      <c r="B55" s="40">
        <v>1736.2099999999998</v>
      </c>
      <c r="C55" s="40">
        <v>18335.349999999999</v>
      </c>
      <c r="D55" s="40">
        <v>11450.817279999999</v>
      </c>
      <c r="E55" s="40">
        <f t="shared" si="4"/>
        <v>709378.13049599994</v>
      </c>
    </row>
    <row r="56" spans="1:5" s="132" customFormat="1" x14ac:dyDescent="0.3"/>
    <row r="57" spans="1:5" s="132" customFormat="1" x14ac:dyDescent="0.3"/>
    <row r="58" spans="1:5" s="132" customFormat="1" ht="15.6" x14ac:dyDescent="0.3">
      <c r="A58" s="406" t="s">
        <v>61</v>
      </c>
      <c r="B58" s="406"/>
      <c r="C58" s="406"/>
      <c r="D58" s="406"/>
      <c r="E58" s="406"/>
    </row>
    <row r="59" spans="1:5" s="132" customFormat="1" ht="43.2" x14ac:dyDescent="0.3">
      <c r="A59" s="126" t="s">
        <v>5</v>
      </c>
      <c r="B59" s="51" t="s">
        <v>75</v>
      </c>
      <c r="C59" s="51" t="s">
        <v>51</v>
      </c>
      <c r="D59" s="50" t="s">
        <v>0</v>
      </c>
      <c r="E59" s="51" t="s">
        <v>58</v>
      </c>
    </row>
    <row r="60" spans="1:5" s="132" customFormat="1" x14ac:dyDescent="0.3">
      <c r="A60" s="72" t="s">
        <v>64</v>
      </c>
      <c r="B60" s="40">
        <v>523.51</v>
      </c>
      <c r="C60" s="40">
        <v>8619.2799999999988</v>
      </c>
      <c r="D60" s="350">
        <v>7356.6</v>
      </c>
      <c r="E60" s="40">
        <f t="shared" ref="E60:E69" si="5">D60*$B$5</f>
        <v>455741.37000000005</v>
      </c>
    </row>
    <row r="61" spans="1:5" s="132" customFormat="1" x14ac:dyDescent="0.3">
      <c r="A61" s="72" t="s">
        <v>65</v>
      </c>
      <c r="B61" s="40">
        <v>546.66</v>
      </c>
      <c r="C61" s="40">
        <v>8755.49</v>
      </c>
      <c r="D61" s="40">
        <v>7261.9853599999997</v>
      </c>
      <c r="E61" s="40">
        <f t="shared" si="5"/>
        <v>449879.99305200001</v>
      </c>
    </row>
    <row r="62" spans="1:5" s="132" customFormat="1" x14ac:dyDescent="0.3">
      <c r="A62" s="72" t="s">
        <v>66</v>
      </c>
      <c r="B62" s="40">
        <v>566.92999999999995</v>
      </c>
      <c r="C62" s="40">
        <v>8867.14</v>
      </c>
      <c r="D62" s="40">
        <v>7331.4090400000005</v>
      </c>
      <c r="E62" s="40">
        <f t="shared" si="5"/>
        <v>454180.79002800008</v>
      </c>
    </row>
    <row r="63" spans="1:5" s="132" customFormat="1" x14ac:dyDescent="0.3">
      <c r="A63" s="72" t="s">
        <v>67</v>
      </c>
      <c r="B63" s="40">
        <v>576.21</v>
      </c>
      <c r="C63" s="40">
        <v>8917.9800000000014</v>
      </c>
      <c r="D63" s="40">
        <v>7337.7468000000008</v>
      </c>
      <c r="E63" s="40">
        <f t="shared" si="5"/>
        <v>454573.41426000005</v>
      </c>
    </row>
    <row r="64" spans="1:5" s="132" customFormat="1" x14ac:dyDescent="0.3">
      <c r="A64" s="72" t="s">
        <v>68</v>
      </c>
      <c r="B64" s="40">
        <v>661.15</v>
      </c>
      <c r="C64" s="40">
        <v>9157.3200000000015</v>
      </c>
      <c r="D64" s="40">
        <v>7440.3506400000006</v>
      </c>
      <c r="E64" s="40">
        <f t="shared" si="5"/>
        <v>460929.72214800003</v>
      </c>
    </row>
    <row r="65" spans="1:10" s="132" customFormat="1" x14ac:dyDescent="0.3">
      <c r="A65" s="72" t="s">
        <v>69</v>
      </c>
      <c r="B65" s="40">
        <v>741.1500000000002</v>
      </c>
      <c r="C65" s="40">
        <v>9524.1700000000019</v>
      </c>
      <c r="D65" s="40">
        <v>7653.001839999999</v>
      </c>
      <c r="E65" s="40">
        <f t="shared" si="5"/>
        <v>474103.46398799994</v>
      </c>
    </row>
    <row r="66" spans="1:10" s="132" customFormat="1" x14ac:dyDescent="0.3">
      <c r="A66" s="72" t="s">
        <v>70</v>
      </c>
      <c r="B66" s="40">
        <v>782.96999999999991</v>
      </c>
      <c r="C66" s="40">
        <v>9911.6299999999992</v>
      </c>
      <c r="D66" s="40">
        <v>7822.2310399999997</v>
      </c>
      <c r="E66" s="40">
        <f t="shared" si="5"/>
        <v>484587.21292800002</v>
      </c>
    </row>
    <row r="67" spans="1:10" s="132" customFormat="1" x14ac:dyDescent="0.3">
      <c r="A67" s="72" t="s">
        <v>71</v>
      </c>
      <c r="B67" s="40">
        <v>828.43</v>
      </c>
      <c r="C67" s="40">
        <v>10377.290000000001</v>
      </c>
      <c r="D67" s="40">
        <v>8038.9875199999988</v>
      </c>
      <c r="E67" s="40">
        <f t="shared" si="5"/>
        <v>498015.27686399996</v>
      </c>
    </row>
    <row r="68" spans="1:10" s="132" customFormat="1" x14ac:dyDescent="0.3">
      <c r="A68" s="72" t="s">
        <v>72</v>
      </c>
      <c r="B68" s="40">
        <v>758.18000000000006</v>
      </c>
      <c r="C68" s="40">
        <v>10551.739999999998</v>
      </c>
      <c r="D68" s="40">
        <v>7975.6212799999994</v>
      </c>
      <c r="E68" s="40">
        <f t="shared" si="5"/>
        <v>494089.738296</v>
      </c>
    </row>
    <row r="69" spans="1:10" s="132" customFormat="1" x14ac:dyDescent="0.3">
      <c r="A69" s="72" t="s">
        <v>73</v>
      </c>
      <c r="B69" s="40">
        <v>784.75000000000011</v>
      </c>
      <c r="C69" s="40">
        <v>11385.88</v>
      </c>
      <c r="D69" s="40">
        <v>8248.6948000000011</v>
      </c>
      <c r="E69" s="40">
        <f t="shared" si="5"/>
        <v>511006.64286000008</v>
      </c>
    </row>
    <row r="70" spans="1:10" s="132" customFormat="1" x14ac:dyDescent="0.3"/>
    <row r="71" spans="1:10" s="132" customFormat="1" x14ac:dyDescent="0.3"/>
    <row r="72" spans="1:10" s="132" customFormat="1" ht="15.6" x14ac:dyDescent="0.3">
      <c r="A72" s="406" t="s">
        <v>62</v>
      </c>
      <c r="B72" s="406"/>
      <c r="C72" s="406"/>
      <c r="D72" s="406"/>
      <c r="E72" s="406"/>
    </row>
    <row r="73" spans="1:10" s="132" customFormat="1" ht="43.2" x14ac:dyDescent="0.3">
      <c r="A73" s="126" t="s">
        <v>5</v>
      </c>
      <c r="B73" s="51" t="s">
        <v>75</v>
      </c>
      <c r="C73" s="51" t="s">
        <v>51</v>
      </c>
      <c r="D73" s="50" t="s">
        <v>0</v>
      </c>
      <c r="E73" s="51" t="s">
        <v>58</v>
      </c>
    </row>
    <row r="74" spans="1:10" s="132" customFormat="1" x14ac:dyDescent="0.3">
      <c r="A74" s="72" t="s">
        <v>64</v>
      </c>
      <c r="B74" s="40">
        <v>523.51</v>
      </c>
      <c r="C74" s="40">
        <v>8619.2799999999988</v>
      </c>
      <c r="D74" s="350">
        <v>7299.6</v>
      </c>
      <c r="E74" s="40">
        <f t="shared" ref="E74:E83" si="6">D74*$B$5</f>
        <v>452210.22000000003</v>
      </c>
    </row>
    <row r="75" spans="1:10" s="132" customFormat="1" x14ac:dyDescent="0.3">
      <c r="A75" s="72" t="s">
        <v>65</v>
      </c>
      <c r="B75" s="40">
        <v>546.66</v>
      </c>
      <c r="C75" s="40">
        <v>8755.119999999999</v>
      </c>
      <c r="D75" s="40">
        <v>7264.3158399999993</v>
      </c>
      <c r="E75" s="40">
        <f t="shared" si="6"/>
        <v>450024.36628799996</v>
      </c>
    </row>
    <row r="76" spans="1:10" s="132" customFormat="1" x14ac:dyDescent="0.3">
      <c r="A76" s="72" t="s">
        <v>66</v>
      </c>
      <c r="B76" s="40">
        <v>562.4</v>
      </c>
      <c r="C76" s="40">
        <v>8861.67</v>
      </c>
      <c r="D76" s="40">
        <v>7328.3541600000008</v>
      </c>
      <c r="E76" s="40">
        <f t="shared" si="6"/>
        <v>453991.54021200008</v>
      </c>
      <c r="I76" s="39"/>
      <c r="J76" s="39"/>
    </row>
    <row r="77" spans="1:10" s="132" customFormat="1" x14ac:dyDescent="0.3">
      <c r="A77" s="72" t="s">
        <v>67</v>
      </c>
      <c r="B77" s="40">
        <v>617.66</v>
      </c>
      <c r="C77" s="40">
        <v>9068.5000000000018</v>
      </c>
      <c r="D77" s="40">
        <v>7472.4467200000008</v>
      </c>
      <c r="E77" s="40">
        <f t="shared" si="6"/>
        <v>462918.07430400007</v>
      </c>
      <c r="I77" s="45"/>
      <c r="J77" s="54"/>
    </row>
    <row r="78" spans="1:10" s="132" customFormat="1" x14ac:dyDescent="0.3">
      <c r="A78" s="72" t="s">
        <v>68</v>
      </c>
      <c r="B78" s="40">
        <v>922.7</v>
      </c>
      <c r="C78" s="40">
        <v>9610.98</v>
      </c>
      <c r="D78" s="40">
        <v>7713.4891199999993</v>
      </c>
      <c r="E78" s="40">
        <f t="shared" si="6"/>
        <v>477850.65098399995</v>
      </c>
      <c r="I78" s="45"/>
      <c r="J78" s="54"/>
    </row>
    <row r="79" spans="1:10" s="132" customFormat="1" x14ac:dyDescent="0.3">
      <c r="A79" s="72" t="s">
        <v>69</v>
      </c>
      <c r="B79" s="40">
        <v>981.29</v>
      </c>
      <c r="C79" s="40">
        <v>10011.060000000001</v>
      </c>
      <c r="D79" s="40">
        <v>7973.9654400000009</v>
      </c>
      <c r="E79" s="40">
        <f t="shared" si="6"/>
        <v>493987.1590080001</v>
      </c>
      <c r="I79" s="39"/>
      <c r="J79" s="39"/>
    </row>
    <row r="80" spans="1:10" s="132" customFormat="1" x14ac:dyDescent="0.3">
      <c r="A80" s="72" t="s">
        <v>70</v>
      </c>
      <c r="B80" s="40">
        <v>981.38999999999987</v>
      </c>
      <c r="C80" s="40">
        <v>10259.599999999999</v>
      </c>
      <c r="D80" s="40">
        <v>8066.6223199999995</v>
      </c>
      <c r="E80" s="40">
        <f t="shared" si="6"/>
        <v>499727.25272400002</v>
      </c>
      <c r="I80" s="39"/>
      <c r="J80" s="39"/>
    </row>
    <row r="81" spans="1:10" s="132" customFormat="1" x14ac:dyDescent="0.3">
      <c r="A81" s="72" t="s">
        <v>71</v>
      </c>
      <c r="B81" s="40">
        <v>1004.8399999999999</v>
      </c>
      <c r="C81" s="40">
        <v>10670.24</v>
      </c>
      <c r="D81" s="40">
        <v>8233.8989599999986</v>
      </c>
      <c r="E81" s="40">
        <f t="shared" si="6"/>
        <v>510090.04057199991</v>
      </c>
      <c r="I81" s="39"/>
      <c r="J81" s="39"/>
    </row>
    <row r="82" spans="1:10" s="132" customFormat="1" x14ac:dyDescent="0.3">
      <c r="A82" s="72" t="s">
        <v>72</v>
      </c>
      <c r="B82" s="40">
        <v>980.96</v>
      </c>
      <c r="C82" s="40">
        <v>11127.600000000002</v>
      </c>
      <c r="D82" s="40">
        <v>8449.8722400000006</v>
      </c>
      <c r="E82" s="40">
        <f t="shared" si="6"/>
        <v>523469.58526800008</v>
      </c>
    </row>
    <row r="83" spans="1:10" s="132" customFormat="1" x14ac:dyDescent="0.3">
      <c r="A83" s="72" t="s">
        <v>73</v>
      </c>
      <c r="B83" s="40">
        <v>1073.45</v>
      </c>
      <c r="C83" s="40">
        <v>12153.07</v>
      </c>
      <c r="D83" s="40">
        <v>8808.0383199999997</v>
      </c>
      <c r="E83" s="40">
        <f t="shared" si="6"/>
        <v>545657.97392400005</v>
      </c>
    </row>
    <row r="84" spans="1:10" s="132" customFormat="1" x14ac:dyDescent="0.3"/>
    <row r="85" spans="1:10" s="132" customFormat="1" x14ac:dyDescent="0.3"/>
    <row r="86" spans="1:10" s="132" customFormat="1" ht="15.6" x14ac:dyDescent="0.3">
      <c r="A86" s="406" t="s">
        <v>63</v>
      </c>
      <c r="B86" s="406"/>
      <c r="C86" s="406"/>
      <c r="D86" s="406"/>
      <c r="E86" s="406"/>
    </row>
    <row r="87" spans="1:10" s="132" customFormat="1" ht="43.2" x14ac:dyDescent="0.3">
      <c r="A87" s="126" t="s">
        <v>5</v>
      </c>
      <c r="B87" s="51" t="s">
        <v>75</v>
      </c>
      <c r="C87" s="51" t="s">
        <v>51</v>
      </c>
      <c r="D87" s="50" t="s">
        <v>0</v>
      </c>
      <c r="E87" s="51" t="s">
        <v>58</v>
      </c>
    </row>
    <row r="88" spans="1:10" s="132" customFormat="1" x14ac:dyDescent="0.3">
      <c r="A88" s="72" t="s">
        <v>64</v>
      </c>
      <c r="B88" s="40">
        <v>552.92999999999995</v>
      </c>
      <c r="C88" s="40">
        <v>8766.4100000000017</v>
      </c>
      <c r="D88" s="350">
        <v>7639.3</v>
      </c>
      <c r="E88" s="40">
        <f t="shared" ref="E88:E97" si="7">D88*$B$5</f>
        <v>473254.63500000001</v>
      </c>
    </row>
    <row r="89" spans="1:10" s="132" customFormat="1" x14ac:dyDescent="0.3">
      <c r="A89" s="72" t="s">
        <v>65</v>
      </c>
      <c r="B89" s="40">
        <v>578.25</v>
      </c>
      <c r="C89" s="40">
        <v>8880.3900000000012</v>
      </c>
      <c r="D89" s="40">
        <v>7312.5247199999994</v>
      </c>
      <c r="E89" s="40">
        <f t="shared" si="7"/>
        <v>453010.90640400001</v>
      </c>
    </row>
    <row r="90" spans="1:10" s="132" customFormat="1" x14ac:dyDescent="0.3">
      <c r="A90" s="72" t="s">
        <v>66</v>
      </c>
      <c r="B90" s="40">
        <v>641.08000000000004</v>
      </c>
      <c r="C90" s="40">
        <v>9259.880000000001</v>
      </c>
      <c r="D90" s="40">
        <v>7539.87608</v>
      </c>
      <c r="E90" s="40">
        <f t="shared" si="7"/>
        <v>467095.323156</v>
      </c>
    </row>
    <row r="91" spans="1:10" s="132" customFormat="1" x14ac:dyDescent="0.3">
      <c r="A91" s="72" t="s">
        <v>67</v>
      </c>
      <c r="B91" s="40">
        <v>693.14</v>
      </c>
      <c r="C91" s="40">
        <v>9446.3700000000008</v>
      </c>
      <c r="D91" s="40">
        <v>7576.5033600000006</v>
      </c>
      <c r="E91" s="40">
        <f t="shared" si="7"/>
        <v>469364.38315200008</v>
      </c>
    </row>
    <row r="92" spans="1:10" s="132" customFormat="1" x14ac:dyDescent="0.3">
      <c r="A92" s="72" t="s">
        <v>68</v>
      </c>
      <c r="B92" s="40">
        <v>775.63</v>
      </c>
      <c r="C92" s="40">
        <v>9756.86</v>
      </c>
      <c r="D92" s="40">
        <v>7654.4458400000003</v>
      </c>
      <c r="E92" s="40">
        <f t="shared" si="7"/>
        <v>474192.91978800006</v>
      </c>
    </row>
    <row r="93" spans="1:10" s="132" customFormat="1" x14ac:dyDescent="0.3">
      <c r="A93" s="72" t="s">
        <v>69</v>
      </c>
      <c r="B93" s="40">
        <v>874.64</v>
      </c>
      <c r="C93" s="40">
        <v>10427.370000000001</v>
      </c>
      <c r="D93" s="40">
        <v>7973.7960000000003</v>
      </c>
      <c r="E93" s="40">
        <f t="shared" si="7"/>
        <v>493976.66220000002</v>
      </c>
    </row>
    <row r="94" spans="1:10" s="132" customFormat="1" x14ac:dyDescent="0.3">
      <c r="A94" s="72" t="s">
        <v>70</v>
      </c>
      <c r="B94" s="40">
        <v>932.93999999999983</v>
      </c>
      <c r="C94" s="40">
        <v>11566.47</v>
      </c>
      <c r="D94" s="40">
        <v>8470.4253599999993</v>
      </c>
      <c r="E94" s="40">
        <f t="shared" si="7"/>
        <v>524742.85105199995</v>
      </c>
    </row>
    <row r="95" spans="1:10" s="132" customFormat="1" x14ac:dyDescent="0.3">
      <c r="A95" s="72" t="s">
        <v>71</v>
      </c>
      <c r="B95" s="40">
        <v>971.26</v>
      </c>
      <c r="C95" s="40">
        <v>12839.249999999998</v>
      </c>
      <c r="D95" s="40">
        <v>8925.5236799999984</v>
      </c>
      <c r="E95" s="40">
        <f t="shared" si="7"/>
        <v>552936.19197599997</v>
      </c>
    </row>
    <row r="96" spans="1:10" s="132" customFormat="1" x14ac:dyDescent="0.3">
      <c r="A96" s="72" t="s">
        <v>72</v>
      </c>
      <c r="B96" s="40">
        <v>975.34</v>
      </c>
      <c r="C96" s="40">
        <v>14321.93</v>
      </c>
      <c r="D96" s="40">
        <v>9393.0668000000005</v>
      </c>
      <c r="E96" s="40">
        <f t="shared" si="7"/>
        <v>581900.48826000001</v>
      </c>
    </row>
    <row r="97" spans="1:5" s="132" customFormat="1" x14ac:dyDescent="0.3">
      <c r="A97" s="72" t="s">
        <v>73</v>
      </c>
      <c r="B97" s="40">
        <v>1075.6699999999998</v>
      </c>
      <c r="C97" s="40">
        <v>16570.78</v>
      </c>
      <c r="D97" s="40">
        <v>10279.350639999999</v>
      </c>
      <c r="E97" s="40">
        <f t="shared" si="7"/>
        <v>636805.77214799996</v>
      </c>
    </row>
    <row r="98" spans="1:5" s="132" customFormat="1" x14ac:dyDescent="0.3">
      <c r="A98" s="39"/>
      <c r="B98" s="39"/>
      <c r="C98" s="39"/>
      <c r="D98" s="39"/>
      <c r="E98" s="39"/>
    </row>
    <row r="99" spans="1:5" x14ac:dyDescent="0.3">
      <c r="A99" s="133"/>
      <c r="B99" s="133"/>
      <c r="C99" s="133"/>
      <c r="D99" s="133"/>
      <c r="E99" s="133"/>
    </row>
  </sheetData>
  <mergeCells count="7">
    <mergeCell ref="A86:E86"/>
    <mergeCell ref="A15:E15"/>
    <mergeCell ref="H15:L15"/>
    <mergeCell ref="A30:E30"/>
    <mergeCell ref="A44:E44"/>
    <mergeCell ref="A58:E58"/>
    <mergeCell ref="A72:E7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99"/>
  <sheetViews>
    <sheetView zoomScale="70" zoomScaleNormal="70" workbookViewId="0">
      <selection activeCell="I27" sqref="I27"/>
    </sheetView>
  </sheetViews>
  <sheetFormatPr defaultRowHeight="14.4" x14ac:dyDescent="0.3"/>
  <cols>
    <col min="1" max="1" width="38.77734375" style="134" customWidth="1"/>
    <col min="2" max="7" width="15.77734375" style="134" customWidth="1"/>
    <col min="8" max="12" width="10.77734375" style="134" customWidth="1"/>
    <col min="13" max="16384" width="8.88671875" style="134"/>
  </cols>
  <sheetData>
    <row r="2" spans="1:13" x14ac:dyDescent="0.3">
      <c r="A2" s="140" t="s">
        <v>78</v>
      </c>
    </row>
    <row r="3" spans="1:13" x14ac:dyDescent="0.3">
      <c r="A3" s="140"/>
    </row>
    <row r="5" spans="1:13" x14ac:dyDescent="0.3">
      <c r="A5" s="65" t="s">
        <v>3</v>
      </c>
      <c r="B5" s="141">
        <v>61.95</v>
      </c>
      <c r="C5" s="71"/>
      <c r="D5" s="71"/>
    </row>
    <row r="6" spans="1:13" x14ac:dyDescent="0.3">
      <c r="A6" s="66" t="s">
        <v>2</v>
      </c>
      <c r="B6" s="142">
        <v>0.1</v>
      </c>
      <c r="C6" s="115"/>
      <c r="D6" s="115"/>
    </row>
    <row r="7" spans="1:13" x14ac:dyDescent="0.3">
      <c r="A7" s="66" t="s">
        <v>1</v>
      </c>
      <c r="B7" s="143">
        <v>40</v>
      </c>
      <c r="C7" s="114"/>
      <c r="D7" s="114"/>
    </row>
    <row r="8" spans="1:13" x14ac:dyDescent="0.3">
      <c r="A8" s="66" t="s">
        <v>6</v>
      </c>
      <c r="B8" s="142">
        <v>0.2</v>
      </c>
      <c r="C8" s="70"/>
      <c r="D8" s="70"/>
    </row>
    <row r="9" spans="1:13" x14ac:dyDescent="0.3">
      <c r="A9" s="66" t="s">
        <v>7</v>
      </c>
      <c r="B9" s="142">
        <v>0.2</v>
      </c>
      <c r="C9" s="70"/>
      <c r="D9" s="70"/>
    </row>
    <row r="10" spans="1:13" x14ac:dyDescent="0.3">
      <c r="A10" s="66" t="s">
        <v>8</v>
      </c>
      <c r="B10" s="142">
        <v>0.2</v>
      </c>
      <c r="C10" s="70"/>
      <c r="D10" s="70"/>
    </row>
    <row r="11" spans="1:13" x14ac:dyDescent="0.3">
      <c r="A11" s="66" t="s">
        <v>9</v>
      </c>
      <c r="B11" s="142">
        <v>0.2</v>
      </c>
      <c r="C11" s="39"/>
      <c r="D11" s="39"/>
    </row>
    <row r="12" spans="1:13" x14ac:dyDescent="0.3">
      <c r="A12" s="67" t="s">
        <v>10</v>
      </c>
      <c r="B12" s="144">
        <v>0.2</v>
      </c>
      <c r="C12" s="39"/>
      <c r="D12" s="39"/>
    </row>
    <row r="13" spans="1:13" x14ac:dyDescent="0.3">
      <c r="A13" s="153"/>
      <c r="B13" s="47"/>
      <c r="C13" s="39"/>
      <c r="D13" s="39"/>
    </row>
    <row r="14" spans="1:13" x14ac:dyDescent="0.3">
      <c r="A14" s="381" t="s">
        <v>150</v>
      </c>
    </row>
    <row r="15" spans="1:13" ht="15.6" x14ac:dyDescent="0.3">
      <c r="A15" s="397" t="s">
        <v>57</v>
      </c>
      <c r="B15" s="397"/>
      <c r="C15" s="397"/>
      <c r="D15" s="397"/>
      <c r="E15" s="397"/>
      <c r="H15" s="407"/>
      <c r="I15" s="407"/>
      <c r="J15" s="407"/>
      <c r="K15" s="407"/>
      <c r="L15" s="407"/>
      <c r="M15" s="153"/>
    </row>
    <row r="16" spans="1:13" s="145" customFormat="1" ht="43.2" x14ac:dyDescent="0.3">
      <c r="A16" s="135" t="s">
        <v>5</v>
      </c>
      <c r="B16" s="51" t="s">
        <v>75</v>
      </c>
      <c r="C16" s="51" t="s">
        <v>51</v>
      </c>
      <c r="D16" s="50" t="s">
        <v>0</v>
      </c>
      <c r="E16" s="51" t="s">
        <v>76</v>
      </c>
      <c r="F16" s="35"/>
      <c r="H16" s="36"/>
      <c r="I16" s="37"/>
      <c r="J16" s="37"/>
      <c r="K16" s="37"/>
      <c r="L16" s="38"/>
      <c r="M16" s="39"/>
    </row>
    <row r="17" spans="1:13" s="145" customFormat="1" x14ac:dyDescent="0.3">
      <c r="A17" s="72" t="s">
        <v>64</v>
      </c>
      <c r="B17" s="40">
        <f>MAX(B32,B46,B60,B74,B88)</f>
        <v>251.05000000000007</v>
      </c>
      <c r="C17" s="40">
        <f>MAX(C32,C46,C60,C74,C88)</f>
        <v>1479.8000000000011</v>
      </c>
      <c r="D17" s="379">
        <f>$B$8*D32+$B$9*D46+$B$10*D60+$B$11*D74+$B$12*D88</f>
        <v>569.66769599999998</v>
      </c>
      <c r="E17" s="41">
        <f t="shared" ref="E17:E26" si="0">D17*$B$5/1000</f>
        <v>35.290913767200003</v>
      </c>
      <c r="F17" s="43"/>
      <c r="H17" s="44"/>
      <c r="I17" s="45"/>
      <c r="J17" s="45"/>
      <c r="K17" s="45"/>
      <c r="L17" s="33"/>
      <c r="M17" s="39"/>
    </row>
    <row r="18" spans="1:13" s="145" customFormat="1" x14ac:dyDescent="0.3">
      <c r="A18" s="72" t="s">
        <v>65</v>
      </c>
      <c r="B18" s="40">
        <f t="shared" ref="B18:C26" si="1">MAX(B33,B47,B61,B75,B89)</f>
        <v>252.88</v>
      </c>
      <c r="C18" s="40">
        <f t="shared" si="1"/>
        <v>1386.9799999999996</v>
      </c>
      <c r="D18" s="40">
        <f t="shared" ref="D18:D26" si="2">$B$8*D33+$B$9*D47+$B$10*D61+$B$11*D75+$B$12*D89</f>
        <v>585.85009600000001</v>
      </c>
      <c r="E18" s="41">
        <f t="shared" si="0"/>
        <v>36.293413447200003</v>
      </c>
      <c r="F18" s="43"/>
      <c r="H18" s="44"/>
      <c r="I18" s="45"/>
      <c r="J18" s="45"/>
      <c r="K18" s="45"/>
      <c r="L18" s="33"/>
      <c r="M18" s="39"/>
    </row>
    <row r="19" spans="1:13" s="145" customFormat="1" x14ac:dyDescent="0.3">
      <c r="A19" s="72" t="s">
        <v>66</v>
      </c>
      <c r="B19" s="40">
        <f t="shared" si="1"/>
        <v>277.81000000000006</v>
      </c>
      <c r="C19" s="40">
        <f t="shared" si="1"/>
        <v>1538.0200000000004</v>
      </c>
      <c r="D19" s="40">
        <f t="shared" si="2"/>
        <v>616.30628799999977</v>
      </c>
      <c r="E19" s="41">
        <f t="shared" si="0"/>
        <v>38.180174541599989</v>
      </c>
      <c r="F19" s="43"/>
      <c r="H19" s="44"/>
      <c r="I19" s="45"/>
      <c r="J19" s="45"/>
      <c r="K19" s="45"/>
      <c r="L19" s="33"/>
      <c r="M19" s="39"/>
    </row>
    <row r="20" spans="1:13" s="145" customFormat="1" x14ac:dyDescent="0.3">
      <c r="A20" s="72" t="s">
        <v>67</v>
      </c>
      <c r="B20" s="40">
        <f t="shared" si="1"/>
        <v>304.77999999999997</v>
      </c>
      <c r="C20" s="40">
        <f t="shared" si="1"/>
        <v>2036.7100000000009</v>
      </c>
      <c r="D20" s="40">
        <f t="shared" si="2"/>
        <v>751.47993600000029</v>
      </c>
      <c r="E20" s="41">
        <f t="shared" si="0"/>
        <v>46.554182035200022</v>
      </c>
      <c r="F20" s="43"/>
      <c r="H20" s="44"/>
      <c r="I20" s="45"/>
      <c r="J20" s="45"/>
      <c r="K20" s="45"/>
      <c r="L20" s="33"/>
      <c r="M20" s="39"/>
    </row>
    <row r="21" spans="1:13" s="145" customFormat="1" x14ac:dyDescent="0.3">
      <c r="A21" s="72" t="s">
        <v>68</v>
      </c>
      <c r="B21" s="40">
        <f t="shared" si="1"/>
        <v>331.37</v>
      </c>
      <c r="C21" s="40">
        <f t="shared" si="1"/>
        <v>2126.4299999999985</v>
      </c>
      <c r="D21" s="40">
        <f t="shared" si="2"/>
        <v>814.47940799999935</v>
      </c>
      <c r="E21" s="41">
        <f t="shared" si="0"/>
        <v>50.456999325599966</v>
      </c>
      <c r="F21" s="43"/>
      <c r="H21" s="44"/>
      <c r="I21" s="45"/>
      <c r="J21" s="45"/>
      <c r="K21" s="45"/>
      <c r="L21" s="33"/>
      <c r="M21" s="39"/>
    </row>
    <row r="22" spans="1:13" s="145" customFormat="1" x14ac:dyDescent="0.3">
      <c r="A22" s="72" t="s">
        <v>69</v>
      </c>
      <c r="B22" s="40">
        <f t="shared" si="1"/>
        <v>279.96000000000004</v>
      </c>
      <c r="C22" s="40">
        <f t="shared" si="1"/>
        <v>2378.59</v>
      </c>
      <c r="D22" s="40">
        <f t="shared" si="2"/>
        <v>824.52467199999933</v>
      </c>
      <c r="E22" s="41">
        <f t="shared" si="0"/>
        <v>51.07930343039996</v>
      </c>
      <c r="F22" s="43"/>
      <c r="H22" s="44"/>
      <c r="I22" s="45"/>
      <c r="J22" s="45"/>
      <c r="K22" s="45"/>
      <c r="L22" s="33"/>
      <c r="M22" s="39"/>
    </row>
    <row r="23" spans="1:13" s="145" customFormat="1" x14ac:dyDescent="0.3">
      <c r="A23" s="72" t="s">
        <v>70</v>
      </c>
      <c r="B23" s="40">
        <f t="shared" si="1"/>
        <v>284.59000000000026</v>
      </c>
      <c r="C23" s="40">
        <f t="shared" si="1"/>
        <v>2365.7899999999991</v>
      </c>
      <c r="D23" s="40">
        <f t="shared" si="2"/>
        <v>954.01321599999983</v>
      </c>
      <c r="E23" s="41">
        <f t="shared" si="0"/>
        <v>59.101118731199989</v>
      </c>
      <c r="F23" s="43"/>
      <c r="H23" s="44"/>
      <c r="I23" s="45"/>
      <c r="J23" s="45"/>
      <c r="K23" s="45"/>
      <c r="L23" s="33"/>
      <c r="M23" s="39"/>
    </row>
    <row r="24" spans="1:13" s="145" customFormat="1" x14ac:dyDescent="0.3">
      <c r="A24" s="72" t="s">
        <v>71</v>
      </c>
      <c r="B24" s="40">
        <f t="shared" si="1"/>
        <v>298.1400000000001</v>
      </c>
      <c r="C24" s="40">
        <f t="shared" si="1"/>
        <v>2976.119999999999</v>
      </c>
      <c r="D24" s="40">
        <f t="shared" si="2"/>
        <v>1061.7678560000008</v>
      </c>
      <c r="E24" s="41">
        <f t="shared" si="0"/>
        <v>65.776518679200066</v>
      </c>
      <c r="F24" s="43"/>
      <c r="H24" s="44"/>
      <c r="I24" s="45"/>
      <c r="J24" s="45"/>
      <c r="K24" s="45"/>
      <c r="L24" s="33"/>
      <c r="M24" s="39"/>
    </row>
    <row r="25" spans="1:13" s="145" customFormat="1" x14ac:dyDescent="0.3">
      <c r="A25" s="72" t="s">
        <v>72</v>
      </c>
      <c r="B25" s="40">
        <f t="shared" si="1"/>
        <v>285</v>
      </c>
      <c r="C25" s="40">
        <f t="shared" si="1"/>
        <v>3451.0600000000049</v>
      </c>
      <c r="D25" s="40">
        <f t="shared" si="2"/>
        <v>994.57278399999893</v>
      </c>
      <c r="E25" s="41">
        <f t="shared" si="0"/>
        <v>61.613783968799936</v>
      </c>
      <c r="F25" s="43"/>
      <c r="H25" s="44"/>
      <c r="I25" s="45"/>
      <c r="J25" s="45"/>
      <c r="K25" s="45"/>
      <c r="L25" s="33"/>
      <c r="M25" s="39"/>
    </row>
    <row r="26" spans="1:13" s="145" customFormat="1" x14ac:dyDescent="0.3">
      <c r="A26" s="72" t="s">
        <v>73</v>
      </c>
      <c r="B26" s="40">
        <f t="shared" si="1"/>
        <v>330.26999999999975</v>
      </c>
      <c r="C26" s="40">
        <f t="shared" si="1"/>
        <v>4821.6900000000023</v>
      </c>
      <c r="D26" s="40">
        <f t="shared" si="2"/>
        <v>1239.6153600000007</v>
      </c>
      <c r="E26" s="41">
        <f t="shared" si="0"/>
        <v>76.794171552000037</v>
      </c>
      <c r="F26" s="43"/>
      <c r="H26" s="44"/>
      <c r="I26" s="45"/>
      <c r="J26" s="45"/>
      <c r="K26" s="45"/>
      <c r="L26" s="33"/>
      <c r="M26" s="39"/>
    </row>
    <row r="27" spans="1:13" s="145" customFormat="1" x14ac:dyDescent="0.3">
      <c r="F27" s="47"/>
      <c r="G27" s="39"/>
      <c r="H27" s="39"/>
      <c r="L27" s="45"/>
    </row>
    <row r="28" spans="1:13" s="145" customFormat="1" x14ac:dyDescent="0.3">
      <c r="F28" s="47"/>
      <c r="G28" s="39"/>
      <c r="H28" s="39"/>
      <c r="L28" s="45"/>
    </row>
    <row r="29" spans="1:13" s="145" customFormat="1" x14ac:dyDescent="0.3"/>
    <row r="30" spans="1:13" s="145" customFormat="1" ht="15.6" x14ac:dyDescent="0.3">
      <c r="A30" s="406" t="s">
        <v>59</v>
      </c>
      <c r="B30" s="406"/>
      <c r="C30" s="406"/>
      <c r="D30" s="406"/>
      <c r="E30" s="406"/>
    </row>
    <row r="31" spans="1:13" s="145" customFormat="1" ht="43.2" x14ac:dyDescent="0.3">
      <c r="A31" s="135" t="s">
        <v>5</v>
      </c>
      <c r="B31" s="51" t="s">
        <v>75</v>
      </c>
      <c r="C31" s="51" t="s">
        <v>51</v>
      </c>
      <c r="D31" s="50" t="s">
        <v>0</v>
      </c>
      <c r="E31" s="51" t="s">
        <v>58</v>
      </c>
    </row>
    <row r="32" spans="1:13" s="145" customFormat="1" x14ac:dyDescent="0.3">
      <c r="A32" s="72" t="s">
        <v>64</v>
      </c>
      <c r="B32" s="40">
        <f>Base!B32-Base_Unconstraint!B32</f>
        <v>246.86000000000013</v>
      </c>
      <c r="C32" s="40">
        <f>Base!C32-Base_Unconstraint!C32</f>
        <v>1475.4300000000003</v>
      </c>
      <c r="D32" s="379">
        <f>Base!D32-Base_Unconstraint!D32</f>
        <v>632.05544000000009</v>
      </c>
      <c r="E32" s="40">
        <f t="shared" ref="E32:E41" si="3">D32*$B$5</f>
        <v>39155.834508000007</v>
      </c>
      <c r="I32" s="53"/>
    </row>
    <row r="33" spans="1:5" s="145" customFormat="1" x14ac:dyDescent="0.3">
      <c r="A33" s="72" t="s">
        <v>65</v>
      </c>
      <c r="B33" s="40">
        <f>Base!B33-Base_Unconstraint!B33</f>
        <v>249.41000000000008</v>
      </c>
      <c r="C33" s="40">
        <f>Base!C33-Base_Unconstraint!C33</f>
        <v>1222.1099999999988</v>
      </c>
      <c r="D33" s="40">
        <f>Base!D33-Base_Unconstraint!D33</f>
        <v>657.19464000000062</v>
      </c>
      <c r="E33" s="40">
        <f t="shared" si="3"/>
        <v>40713.207948000039</v>
      </c>
    </row>
    <row r="34" spans="1:5" s="145" customFormat="1" x14ac:dyDescent="0.3">
      <c r="A34" s="72" t="s">
        <v>66</v>
      </c>
      <c r="B34" s="40">
        <f>Base!B34-Base_Unconstraint!B34</f>
        <v>277.81000000000006</v>
      </c>
      <c r="C34" s="40">
        <f>Base!C34-Base_Unconstraint!C34</f>
        <v>1140.869999999999</v>
      </c>
      <c r="D34" s="40">
        <f>Base!D34-Base_Unconstraint!D34</f>
        <v>670.06079999999929</v>
      </c>
      <c r="E34" s="40">
        <f t="shared" si="3"/>
        <v>41510.26655999996</v>
      </c>
    </row>
    <row r="35" spans="1:5" s="145" customFormat="1" x14ac:dyDescent="0.3">
      <c r="A35" s="72" t="s">
        <v>67</v>
      </c>
      <c r="B35" s="40">
        <f>Base!B35-Base_Unconstraint!B35</f>
        <v>295.34000000000003</v>
      </c>
      <c r="C35" s="40">
        <f>Base!C35-Base_Unconstraint!C35</f>
        <v>1232.2300000000014</v>
      </c>
      <c r="D35" s="40">
        <f>Base!D35-Base_Unconstraint!D35</f>
        <v>746.63776000000053</v>
      </c>
      <c r="E35" s="40">
        <f t="shared" si="3"/>
        <v>46254.209232000037</v>
      </c>
    </row>
    <row r="36" spans="1:5" s="145" customFormat="1" x14ac:dyDescent="0.3">
      <c r="A36" s="72" t="s">
        <v>68</v>
      </c>
      <c r="B36" s="40">
        <f>Base!B36-Base_Unconstraint!B36</f>
        <v>331.37</v>
      </c>
      <c r="C36" s="40">
        <f>Base!C36-Base_Unconstraint!C36</f>
        <v>1226.0899999999965</v>
      </c>
      <c r="D36" s="40">
        <f>Base!D36-Base_Unconstraint!D36</f>
        <v>755.39911999999913</v>
      </c>
      <c r="E36" s="40">
        <f t="shared" si="3"/>
        <v>46796.975483999951</v>
      </c>
    </row>
    <row r="37" spans="1:5" s="145" customFormat="1" x14ac:dyDescent="0.3">
      <c r="A37" s="72" t="s">
        <v>69</v>
      </c>
      <c r="B37" s="40">
        <f>Base!B37-Base_Unconstraint!B37</f>
        <v>245.74000000000024</v>
      </c>
      <c r="C37" s="40">
        <f>Base!C37-Base_Unconstraint!C37</f>
        <v>1066.9199999999964</v>
      </c>
      <c r="D37" s="40">
        <f>Base!D37-Base_Unconstraint!D37</f>
        <v>744.04559999999947</v>
      </c>
      <c r="E37" s="40">
        <f t="shared" si="3"/>
        <v>46093.624919999966</v>
      </c>
    </row>
    <row r="38" spans="1:5" s="145" customFormat="1" x14ac:dyDescent="0.3">
      <c r="A38" s="72" t="s">
        <v>70</v>
      </c>
      <c r="B38" s="40">
        <f>Base!B38-Base_Unconstraint!B38</f>
        <v>169.52999999999997</v>
      </c>
      <c r="C38" s="40">
        <f>Base!C38-Base_Unconstraint!C38</f>
        <v>1252.7099999999991</v>
      </c>
      <c r="D38" s="40">
        <f>Base!D38-Base_Unconstraint!D38</f>
        <v>860.82024000000092</v>
      </c>
      <c r="E38" s="40">
        <f t="shared" si="3"/>
        <v>53327.813868000063</v>
      </c>
    </row>
    <row r="39" spans="1:5" s="145" customFormat="1" x14ac:dyDescent="0.3">
      <c r="A39" s="72" t="s">
        <v>71</v>
      </c>
      <c r="B39" s="40">
        <f>Base!B39-Base_Unconstraint!B39</f>
        <v>181.21000000000004</v>
      </c>
      <c r="C39" s="40">
        <f>Base!C39-Base_Unconstraint!C39</f>
        <v>1405.9600000000009</v>
      </c>
      <c r="D39" s="40">
        <f>Base!D39-Base_Unconstraint!D39</f>
        <v>962.35743999999977</v>
      </c>
      <c r="E39" s="40">
        <f t="shared" si="3"/>
        <v>59618.04340799999</v>
      </c>
    </row>
    <row r="40" spans="1:5" s="145" customFormat="1" x14ac:dyDescent="0.3">
      <c r="A40" s="72" t="s">
        <v>72</v>
      </c>
      <c r="B40" s="40">
        <f>Base!B40-Base_Unconstraint!B40</f>
        <v>285</v>
      </c>
      <c r="C40" s="40">
        <f>Base!C40-Base_Unconstraint!C40</f>
        <v>1246.7499999999982</v>
      </c>
      <c r="D40" s="40">
        <f>Base!D40-Base_Unconstraint!D40</f>
        <v>783.04695999999967</v>
      </c>
      <c r="E40" s="40">
        <f t="shared" si="3"/>
        <v>48509.759171999984</v>
      </c>
    </row>
    <row r="41" spans="1:5" s="145" customFormat="1" x14ac:dyDescent="0.3">
      <c r="A41" s="72" t="s">
        <v>73</v>
      </c>
      <c r="B41" s="40">
        <f>Base!B41-Base_Unconstraint!B41</f>
        <v>204.82999999999993</v>
      </c>
      <c r="C41" s="40">
        <f>Base!C41-Base_Unconstraint!C41</f>
        <v>1324.6400000000031</v>
      </c>
      <c r="D41" s="40">
        <f>Base!D41-Base_Unconstraint!D41</f>
        <v>853.71248000000196</v>
      </c>
      <c r="E41" s="40">
        <f t="shared" si="3"/>
        <v>52887.488136000124</v>
      </c>
    </row>
    <row r="42" spans="1:5" s="145" customFormat="1" x14ac:dyDescent="0.3"/>
    <row r="43" spans="1:5" s="145" customFormat="1" x14ac:dyDescent="0.3"/>
    <row r="44" spans="1:5" s="145" customFormat="1" ht="15.6" x14ac:dyDescent="0.3">
      <c r="A44" s="406" t="s">
        <v>60</v>
      </c>
      <c r="B44" s="406"/>
      <c r="C44" s="406"/>
      <c r="D44" s="406"/>
      <c r="E44" s="406"/>
    </row>
    <row r="45" spans="1:5" s="145" customFormat="1" ht="43.2" x14ac:dyDescent="0.3">
      <c r="A45" s="135" t="s">
        <v>5</v>
      </c>
      <c r="B45" s="51" t="s">
        <v>75</v>
      </c>
      <c r="C45" s="51" t="s">
        <v>51</v>
      </c>
      <c r="D45" s="50" t="s">
        <v>0</v>
      </c>
      <c r="E45" s="51" t="s">
        <v>58</v>
      </c>
    </row>
    <row r="46" spans="1:5" s="145" customFormat="1" x14ac:dyDescent="0.3">
      <c r="A46" s="72" t="s">
        <v>64</v>
      </c>
      <c r="B46" s="40">
        <f>Base!B46-Base_Unconstraint!B46</f>
        <v>251.05000000000007</v>
      </c>
      <c r="C46" s="40">
        <f>Base!C46-Base_Unconstraint!C46</f>
        <v>1479.8000000000011</v>
      </c>
      <c r="D46" s="379">
        <f>Base!D46-Base_Unconstraint!D46</f>
        <v>715.08688000000075</v>
      </c>
      <c r="E46" s="40">
        <f t="shared" ref="E46:E55" si="4">D46*$B$5</f>
        <v>44299.632216000049</v>
      </c>
    </row>
    <row r="47" spans="1:5" s="145" customFormat="1" x14ac:dyDescent="0.3">
      <c r="A47" s="72" t="s">
        <v>65</v>
      </c>
      <c r="B47" s="40">
        <f>Base!B47-Base_Unconstraint!B47</f>
        <v>249.15000000000009</v>
      </c>
      <c r="C47" s="40">
        <f>Base!C47-Base_Unconstraint!C47</f>
        <v>1386.9799999999996</v>
      </c>
      <c r="D47" s="40">
        <f>Base!D47-Base_Unconstraint!D47</f>
        <v>721.07503999999972</v>
      </c>
      <c r="E47" s="40">
        <f t="shared" si="4"/>
        <v>44670.598727999983</v>
      </c>
    </row>
    <row r="48" spans="1:5" s="145" customFormat="1" x14ac:dyDescent="0.3">
      <c r="A48" s="72" t="s">
        <v>66</v>
      </c>
      <c r="B48" s="40">
        <f>Base!B48-Base_Unconstraint!B48</f>
        <v>271.44000000000005</v>
      </c>
      <c r="C48" s="40">
        <f>Base!C48-Base_Unconstraint!C48</f>
        <v>1538.0200000000004</v>
      </c>
      <c r="D48" s="40">
        <f>Base!D48-Base_Unconstraint!D48</f>
        <v>830.28543999999965</v>
      </c>
      <c r="E48" s="40">
        <f t="shared" si="4"/>
        <v>51436.183007999978</v>
      </c>
    </row>
    <row r="49" spans="1:5" s="145" customFormat="1" x14ac:dyDescent="0.3">
      <c r="A49" s="72" t="s">
        <v>67</v>
      </c>
      <c r="B49" s="40">
        <f>Base!B49-Base_Unconstraint!B49</f>
        <v>304.77999999999997</v>
      </c>
      <c r="C49" s="40">
        <f>Base!C49-Base_Unconstraint!C49</f>
        <v>2036.7100000000009</v>
      </c>
      <c r="D49" s="40">
        <f>Base!D49-Base_Unconstraint!D49</f>
        <v>1137.0116800000014</v>
      </c>
      <c r="E49" s="40">
        <f t="shared" si="4"/>
        <v>70437.873576000085</v>
      </c>
    </row>
    <row r="50" spans="1:5" s="145" customFormat="1" x14ac:dyDescent="0.3">
      <c r="A50" s="72" t="s">
        <v>68</v>
      </c>
      <c r="B50" s="40">
        <f>Base!B50-Base_Unconstraint!B50</f>
        <v>94.600000000000136</v>
      </c>
      <c r="C50" s="40">
        <f>Base!C50-Base_Unconstraint!C50</f>
        <v>2126.4299999999985</v>
      </c>
      <c r="D50" s="40">
        <f>Base!D50-Base_Unconstraint!D50</f>
        <v>1235.5012799999986</v>
      </c>
      <c r="E50" s="40">
        <f t="shared" si="4"/>
        <v>76539.304295999915</v>
      </c>
    </row>
    <row r="51" spans="1:5" s="145" customFormat="1" x14ac:dyDescent="0.3">
      <c r="A51" s="72" t="s">
        <v>69</v>
      </c>
      <c r="B51" s="40">
        <f>Base!B51-Base_Unconstraint!B51</f>
        <v>279.96000000000004</v>
      </c>
      <c r="C51" s="40">
        <f>Base!C51-Base_Unconstraint!C51</f>
        <v>2378.59</v>
      </c>
      <c r="D51" s="40">
        <f>Base!D51-Base_Unconstraint!D51</f>
        <v>1383.6579999999994</v>
      </c>
      <c r="E51" s="40">
        <f t="shared" si="4"/>
        <v>85717.613099999973</v>
      </c>
    </row>
    <row r="52" spans="1:5" s="145" customFormat="1" x14ac:dyDescent="0.3">
      <c r="A52" s="72" t="s">
        <v>70</v>
      </c>
      <c r="B52" s="40">
        <f>Base!B52-Base_Unconstraint!B52</f>
        <v>78.180000000000064</v>
      </c>
      <c r="C52" s="40">
        <f>Base!C52-Base_Unconstraint!C52</f>
        <v>2365.7899999999991</v>
      </c>
      <c r="D52" s="40">
        <f>Base!D52-Base_Unconstraint!D52</f>
        <v>1514.1991999999991</v>
      </c>
      <c r="E52" s="40">
        <f t="shared" si="4"/>
        <v>93804.640439999945</v>
      </c>
    </row>
    <row r="53" spans="1:5" s="145" customFormat="1" x14ac:dyDescent="0.3">
      <c r="A53" s="72" t="s">
        <v>71</v>
      </c>
      <c r="B53" s="40">
        <f>Base!B53-Base_Unconstraint!B53</f>
        <v>158.58000000000015</v>
      </c>
      <c r="C53" s="40">
        <f>Base!C53-Base_Unconstraint!C53</f>
        <v>2976.119999999999</v>
      </c>
      <c r="D53" s="40">
        <f>Base!D53-Base_Unconstraint!D53</f>
        <v>1770.9681600000004</v>
      </c>
      <c r="E53" s="40">
        <f t="shared" si="4"/>
        <v>109711.47751200003</v>
      </c>
    </row>
    <row r="54" spans="1:5" s="145" customFormat="1" x14ac:dyDescent="0.3">
      <c r="A54" s="72" t="s">
        <v>72</v>
      </c>
      <c r="B54" s="40">
        <f>Base!B54-Base_Unconstraint!B54</f>
        <v>119.76999999999975</v>
      </c>
      <c r="C54" s="40">
        <f>Base!C54-Base_Unconstraint!C54</f>
        <v>3451.0600000000049</v>
      </c>
      <c r="D54" s="40">
        <f>Base!D54-Base_Unconstraint!D54</f>
        <v>1883.8350399999999</v>
      </c>
      <c r="E54" s="40">
        <f t="shared" si="4"/>
        <v>116703.580728</v>
      </c>
    </row>
    <row r="55" spans="1:5" s="145" customFormat="1" x14ac:dyDescent="0.3">
      <c r="A55" s="72" t="s">
        <v>73</v>
      </c>
      <c r="B55" s="40">
        <f>Base!B55-Base_Unconstraint!B55</f>
        <v>213.62000000000012</v>
      </c>
      <c r="C55" s="40">
        <f>Base!C55-Base_Unconstraint!C55</f>
        <v>4821.6900000000023</v>
      </c>
      <c r="D55" s="40">
        <f>Base!D55-Base_Unconstraint!D55</f>
        <v>2541.5104800000008</v>
      </c>
      <c r="E55" s="40">
        <f t="shared" si="4"/>
        <v>157446.57423600004</v>
      </c>
    </row>
    <row r="56" spans="1:5" s="145" customFormat="1" x14ac:dyDescent="0.3"/>
    <row r="57" spans="1:5" s="145" customFormat="1" x14ac:dyDescent="0.3"/>
    <row r="58" spans="1:5" s="145" customFormat="1" ht="15.6" x14ac:dyDescent="0.3">
      <c r="A58" s="406" t="s">
        <v>61</v>
      </c>
      <c r="B58" s="406"/>
      <c r="C58" s="406"/>
      <c r="D58" s="406"/>
      <c r="E58" s="406"/>
    </row>
    <row r="59" spans="1:5" s="145" customFormat="1" ht="43.2" x14ac:dyDescent="0.3">
      <c r="A59" s="135" t="s">
        <v>5</v>
      </c>
      <c r="B59" s="51" t="s">
        <v>75</v>
      </c>
      <c r="C59" s="51" t="s">
        <v>51</v>
      </c>
      <c r="D59" s="50" t="s">
        <v>0</v>
      </c>
      <c r="E59" s="51" t="s">
        <v>58</v>
      </c>
    </row>
    <row r="60" spans="1:5" s="145" customFormat="1" x14ac:dyDescent="0.3">
      <c r="A60" s="72" t="s">
        <v>64</v>
      </c>
      <c r="B60" s="40">
        <f>Base!B60-Base_Unconstraint!B60</f>
        <v>242.96999999999991</v>
      </c>
      <c r="C60" s="40">
        <f>Base!C60-Base_Unconstraint!C60</f>
        <v>1318.8000000000011</v>
      </c>
      <c r="D60" s="379">
        <f>Base!D60-Base_Unconstraint!D60</f>
        <v>552.04839999999967</v>
      </c>
      <c r="E60" s="40">
        <f t="shared" ref="E60:E69" si="5">D60*$B$5</f>
        <v>34199.398379999984</v>
      </c>
    </row>
    <row r="61" spans="1:5" s="145" customFormat="1" x14ac:dyDescent="0.3">
      <c r="A61" s="72" t="s">
        <v>65</v>
      </c>
      <c r="B61" s="40">
        <f>Base!B61-Base_Unconstraint!B61</f>
        <v>252.88</v>
      </c>
      <c r="C61" s="40">
        <f>Base!C61-Base_Unconstraint!C61</f>
        <v>1057.92</v>
      </c>
      <c r="D61" s="40">
        <f>Base!D61-Base_Unconstraint!D61</f>
        <v>568.45103999999992</v>
      </c>
      <c r="E61" s="40">
        <f t="shared" si="5"/>
        <v>35215.541927999999</v>
      </c>
    </row>
    <row r="62" spans="1:5" s="145" customFormat="1" x14ac:dyDescent="0.3">
      <c r="A62" s="72" t="s">
        <v>66</v>
      </c>
      <c r="B62" s="40">
        <f>Base!B62-Base_Unconstraint!B62</f>
        <v>258.48000000000013</v>
      </c>
      <c r="C62" s="40">
        <f>Base!C62-Base_Unconstraint!C62</f>
        <v>980.47000000000116</v>
      </c>
      <c r="D62" s="40">
        <f>Base!D62-Base_Unconstraint!D62</f>
        <v>555.8125600000003</v>
      </c>
      <c r="E62" s="40">
        <f t="shared" si="5"/>
        <v>34432.58809200002</v>
      </c>
    </row>
    <row r="63" spans="1:5" s="145" customFormat="1" x14ac:dyDescent="0.3">
      <c r="A63" s="72" t="s">
        <v>67</v>
      </c>
      <c r="B63" s="40">
        <f>Base!B63-Base_Unconstraint!B63</f>
        <v>276.67999999999995</v>
      </c>
      <c r="C63" s="40">
        <f>Base!C63-Base_Unconstraint!C63</f>
        <v>1034.2400000000016</v>
      </c>
      <c r="D63" s="40">
        <f>Base!D63-Base_Unconstraint!D63</f>
        <v>610.60567999999967</v>
      </c>
      <c r="E63" s="40">
        <f t="shared" si="5"/>
        <v>37827.021875999984</v>
      </c>
    </row>
    <row r="64" spans="1:5" s="145" customFormat="1" x14ac:dyDescent="0.3">
      <c r="A64" s="72" t="s">
        <v>68</v>
      </c>
      <c r="B64" s="40">
        <f>Base!B64-Base_Unconstraint!B64</f>
        <v>304.55000000000018</v>
      </c>
      <c r="C64" s="40">
        <f>Base!C64-Base_Unconstraint!C64</f>
        <v>1090.3199999999997</v>
      </c>
      <c r="D64" s="40">
        <f>Base!D64-Base_Unconstraint!D64</f>
        <v>647.14199999999801</v>
      </c>
      <c r="E64" s="40">
        <f t="shared" si="5"/>
        <v>40090.446899999879</v>
      </c>
    </row>
    <row r="65" spans="1:10" s="145" customFormat="1" x14ac:dyDescent="0.3">
      <c r="A65" s="72" t="s">
        <v>69</v>
      </c>
      <c r="B65" s="40">
        <f>Base!B65-Base_Unconstraint!B65</f>
        <v>265.22999999999968</v>
      </c>
      <c r="C65" s="40">
        <f>Base!C65-Base_Unconstraint!C65</f>
        <v>998.76999999999862</v>
      </c>
      <c r="D65" s="40">
        <f>Base!D65-Base_Unconstraint!D65</f>
        <v>642.12567999999919</v>
      </c>
      <c r="E65" s="40">
        <f t="shared" si="5"/>
        <v>39779.685875999952</v>
      </c>
    </row>
    <row r="66" spans="1:10" s="145" customFormat="1" x14ac:dyDescent="0.3">
      <c r="A66" s="72" t="s">
        <v>70</v>
      </c>
      <c r="B66" s="40">
        <f>Base!B66-Base_Unconstraint!B66</f>
        <v>284.59000000000026</v>
      </c>
      <c r="C66" s="40">
        <f>Base!C66-Base_Unconstraint!C66</f>
        <v>1133.1100000000006</v>
      </c>
      <c r="D66" s="40">
        <f>Base!D66-Base_Unconstraint!D66</f>
        <v>708.70311999999922</v>
      </c>
      <c r="E66" s="40">
        <f t="shared" si="5"/>
        <v>43904.158283999954</v>
      </c>
    </row>
    <row r="67" spans="1:10" s="145" customFormat="1" x14ac:dyDescent="0.3">
      <c r="A67" s="72" t="s">
        <v>71</v>
      </c>
      <c r="B67" s="40">
        <f>Base!B67-Base_Unconstraint!B67</f>
        <v>270.68999999999994</v>
      </c>
      <c r="C67" s="40">
        <f>Base!C67-Base_Unconstraint!C67</f>
        <v>1157.3199999999997</v>
      </c>
      <c r="D67" s="40">
        <f>Base!D67-Base_Unconstraint!D67</f>
        <v>725.15968000000066</v>
      </c>
      <c r="E67" s="40">
        <f t="shared" si="5"/>
        <v>44923.642176000045</v>
      </c>
    </row>
    <row r="68" spans="1:10" s="145" customFormat="1" x14ac:dyDescent="0.3">
      <c r="A68" s="72" t="s">
        <v>72</v>
      </c>
      <c r="B68" s="40">
        <f>Base!B68-Base_Unconstraint!B68</f>
        <v>284.90000000000009</v>
      </c>
      <c r="C68" s="40">
        <f>Base!C68-Base_Unconstraint!C68</f>
        <v>939.10000000000036</v>
      </c>
      <c r="D68" s="40">
        <f>Base!D68-Base_Unconstraint!D68</f>
        <v>591.32967999999892</v>
      </c>
      <c r="E68" s="40">
        <f t="shared" si="5"/>
        <v>36632.873675999937</v>
      </c>
    </row>
    <row r="69" spans="1:10" s="145" customFormat="1" x14ac:dyDescent="0.3">
      <c r="A69" s="72" t="s">
        <v>73</v>
      </c>
      <c r="B69" s="40">
        <f>Base!B69-Base_Unconstraint!B69</f>
        <v>299.37</v>
      </c>
      <c r="C69" s="40">
        <f>Base!C69-Base_Unconstraint!C69</f>
        <v>1116.6499999999996</v>
      </c>
      <c r="D69" s="40">
        <f>Base!D69-Base_Unconstraint!D69</f>
        <v>689.49391999999898</v>
      </c>
      <c r="E69" s="40">
        <f t="shared" si="5"/>
        <v>42714.148343999936</v>
      </c>
    </row>
    <row r="70" spans="1:10" s="145" customFormat="1" x14ac:dyDescent="0.3"/>
    <row r="71" spans="1:10" s="145" customFormat="1" x14ac:dyDescent="0.3"/>
    <row r="72" spans="1:10" s="145" customFormat="1" ht="15.6" x14ac:dyDescent="0.3">
      <c r="A72" s="406" t="s">
        <v>62</v>
      </c>
      <c r="B72" s="406"/>
      <c r="C72" s="406"/>
      <c r="D72" s="406"/>
      <c r="E72" s="406"/>
    </row>
    <row r="73" spans="1:10" s="145" customFormat="1" ht="43.2" x14ac:dyDescent="0.3">
      <c r="A73" s="135" t="s">
        <v>5</v>
      </c>
      <c r="B73" s="51" t="s">
        <v>75</v>
      </c>
      <c r="C73" s="51" t="s">
        <v>51</v>
      </c>
      <c r="D73" s="50" t="s">
        <v>0</v>
      </c>
      <c r="E73" s="51" t="s">
        <v>58</v>
      </c>
    </row>
    <row r="74" spans="1:10" s="145" customFormat="1" x14ac:dyDescent="0.3">
      <c r="A74" s="72" t="s">
        <v>64</v>
      </c>
      <c r="B74" s="40">
        <f>Base!B74-Base_Unconstraint!B74</f>
        <v>242.96999999999991</v>
      </c>
      <c r="C74" s="40">
        <f>Base!C74-Base_Unconstraint!C74</f>
        <v>1318.8000000000011</v>
      </c>
      <c r="D74" s="379">
        <f>Base!D74-Base_Unconstraint!D74</f>
        <v>609.04839999999967</v>
      </c>
      <c r="E74" s="40">
        <f t="shared" ref="E74:E83" si="6">D74*$B$5</f>
        <v>37730.548379999978</v>
      </c>
    </row>
    <row r="75" spans="1:10" s="145" customFormat="1" x14ac:dyDescent="0.3">
      <c r="A75" s="72" t="s">
        <v>65</v>
      </c>
      <c r="B75" s="40">
        <f>Base!B75-Base_Unconstraint!B75</f>
        <v>248.07000000000005</v>
      </c>
      <c r="C75" s="40">
        <f>Base!C75-Base_Unconstraint!C75</f>
        <v>1190.4300000000003</v>
      </c>
      <c r="D75" s="40">
        <f>Base!D75-Base_Unconstraint!D75</f>
        <v>622.5635999999995</v>
      </c>
      <c r="E75" s="40">
        <f t="shared" si="6"/>
        <v>38567.815019999973</v>
      </c>
    </row>
    <row r="76" spans="1:10" s="145" customFormat="1" x14ac:dyDescent="0.3">
      <c r="A76" s="72" t="s">
        <v>66</v>
      </c>
      <c r="B76" s="40">
        <f>Base!B76-Base_Unconstraint!B76</f>
        <v>259.63000000000011</v>
      </c>
      <c r="C76" s="40">
        <f>Base!C76-Base_Unconstraint!C76</f>
        <v>1272.7000000000007</v>
      </c>
      <c r="D76" s="40">
        <f>Base!D76-Base_Unconstraint!D76</f>
        <v>685.49175999999898</v>
      </c>
      <c r="E76" s="40">
        <f t="shared" si="6"/>
        <v>42466.21453199994</v>
      </c>
      <c r="I76" s="39"/>
      <c r="J76" s="39"/>
    </row>
    <row r="77" spans="1:10" s="145" customFormat="1" x14ac:dyDescent="0.3">
      <c r="A77" s="72" t="s">
        <v>67</v>
      </c>
      <c r="B77" s="40">
        <f>Base!B77-Base_Unconstraint!B77</f>
        <v>293.27999999999997</v>
      </c>
      <c r="C77" s="40">
        <f>Base!C77-Base_Unconstraint!C77</f>
        <v>1665.3000000000011</v>
      </c>
      <c r="D77" s="40">
        <f>Base!D77-Base_Unconstraint!D77</f>
        <v>927.46344000000045</v>
      </c>
      <c r="E77" s="40">
        <f t="shared" si="6"/>
        <v>57456.36010800003</v>
      </c>
      <c r="I77" s="45"/>
      <c r="J77" s="54"/>
    </row>
    <row r="78" spans="1:10" s="145" customFormat="1" x14ac:dyDescent="0.3">
      <c r="A78" s="72" t="s">
        <v>68</v>
      </c>
      <c r="B78" s="40">
        <f>Base!B78-Base_Unconstraint!B78</f>
        <v>70.87</v>
      </c>
      <c r="C78" s="40">
        <f>Base!C78-Base_Unconstraint!C78</f>
        <v>1618.2100000000028</v>
      </c>
      <c r="D78" s="40">
        <f>Base!D78-Base_Unconstraint!D78</f>
        <v>986.21416000000045</v>
      </c>
      <c r="E78" s="40">
        <f t="shared" si="6"/>
        <v>61095.967212000032</v>
      </c>
      <c r="I78" s="45"/>
      <c r="J78" s="54"/>
    </row>
    <row r="79" spans="1:10" s="145" customFormat="1" x14ac:dyDescent="0.3">
      <c r="A79" s="72" t="s">
        <v>69</v>
      </c>
      <c r="B79" s="40">
        <f>Base!B79-Base_Unconstraint!B79</f>
        <v>118.43000000000006</v>
      </c>
      <c r="C79" s="40">
        <f>Base!C79-Base_Unconstraint!C79</f>
        <v>1491.0099999999984</v>
      </c>
      <c r="D79" s="40">
        <f>Base!D79-Base_Unconstraint!D79</f>
        <v>996.70383999999922</v>
      </c>
      <c r="E79" s="40">
        <f t="shared" si="6"/>
        <v>61745.802887999955</v>
      </c>
      <c r="I79" s="39"/>
      <c r="J79" s="39"/>
    </row>
    <row r="80" spans="1:10" s="145" customFormat="1" x14ac:dyDescent="0.3">
      <c r="A80" s="72" t="s">
        <v>70</v>
      </c>
      <c r="B80" s="40">
        <f>Base!B80-Base_Unconstraint!B80</f>
        <v>143.26</v>
      </c>
      <c r="C80" s="40">
        <f>Base!C80-Base_Unconstraint!C80</f>
        <v>1838.9399999999987</v>
      </c>
      <c r="D80" s="40">
        <f>Base!D80-Base_Unconstraint!D80</f>
        <v>1154.1038399999989</v>
      </c>
      <c r="E80" s="40">
        <f t="shared" si="6"/>
        <v>71496.732887999926</v>
      </c>
      <c r="I80" s="39"/>
      <c r="J80" s="39"/>
    </row>
    <row r="81" spans="1:10" s="145" customFormat="1" x14ac:dyDescent="0.3">
      <c r="A81" s="72" t="s">
        <v>71</v>
      </c>
      <c r="B81" s="40">
        <f>Base!B81-Base_Unconstraint!B81</f>
        <v>298.1400000000001</v>
      </c>
      <c r="C81" s="40">
        <f>Base!C81-Base_Unconstraint!C81</f>
        <v>2051.8300000000036</v>
      </c>
      <c r="D81" s="40">
        <f>Base!D81-Base_Unconstraint!D81</f>
        <v>1258.4248000000025</v>
      </c>
      <c r="E81" s="40">
        <f t="shared" si="6"/>
        <v>77959.416360000163</v>
      </c>
      <c r="I81" s="39"/>
      <c r="J81" s="39"/>
    </row>
    <row r="82" spans="1:10" s="145" customFormat="1" x14ac:dyDescent="0.3">
      <c r="A82" s="72" t="s">
        <v>72</v>
      </c>
      <c r="B82" s="40">
        <f>Base!B82-Base_Unconstraint!B82</f>
        <v>229.51000000000022</v>
      </c>
      <c r="C82" s="40">
        <f>Base!C82-Base_Unconstraint!C82</f>
        <v>2190.029999999997</v>
      </c>
      <c r="D82" s="40">
        <f>Base!D82-Base_Unconstraint!D82</f>
        <v>1346.1021599999985</v>
      </c>
      <c r="E82" s="40">
        <f t="shared" si="6"/>
        <v>83391.028811999917</v>
      </c>
    </row>
    <row r="83" spans="1:10" s="145" customFormat="1" x14ac:dyDescent="0.3">
      <c r="A83" s="72" t="s">
        <v>73</v>
      </c>
      <c r="B83" s="40">
        <f>Base!B83-Base_Unconstraint!B83</f>
        <v>330.26999999999975</v>
      </c>
      <c r="C83" s="40">
        <f>Base!C83-Base_Unconstraint!C83</f>
        <v>2787.239999999998</v>
      </c>
      <c r="D83" s="40">
        <f>Base!D83-Base_Unconstraint!D83</f>
        <v>1694.6731199999995</v>
      </c>
      <c r="E83" s="40">
        <f t="shared" si="6"/>
        <v>104984.99978399997</v>
      </c>
    </row>
    <row r="84" spans="1:10" s="145" customFormat="1" x14ac:dyDescent="0.3"/>
    <row r="85" spans="1:10" s="145" customFormat="1" x14ac:dyDescent="0.3"/>
    <row r="86" spans="1:10" s="145" customFormat="1" ht="15.6" x14ac:dyDescent="0.3">
      <c r="A86" s="406" t="s">
        <v>63</v>
      </c>
      <c r="B86" s="406"/>
      <c r="C86" s="406"/>
      <c r="D86" s="406"/>
      <c r="E86" s="406"/>
    </row>
    <row r="87" spans="1:10" s="145" customFormat="1" ht="43.2" x14ac:dyDescent="0.3">
      <c r="A87" s="135" t="s">
        <v>5</v>
      </c>
      <c r="B87" s="51" t="s">
        <v>75</v>
      </c>
      <c r="C87" s="51" t="s">
        <v>51</v>
      </c>
      <c r="D87" s="50" t="s">
        <v>0</v>
      </c>
      <c r="E87" s="51" t="s">
        <v>58</v>
      </c>
    </row>
    <row r="88" spans="1:10" s="145" customFormat="1" x14ac:dyDescent="0.3">
      <c r="A88" s="72" t="s">
        <v>64</v>
      </c>
      <c r="B88" s="40">
        <f>Base!B88-Base_Unconstraint!B88</f>
        <v>245.24000000000012</v>
      </c>
      <c r="C88" s="40">
        <f>Base!C88-Base_Unconstraint!C88</f>
        <v>1344.0300000000007</v>
      </c>
      <c r="D88" s="40">
        <f>Base!D88-Base_Unconstraint!D88</f>
        <v>340.09935999999925</v>
      </c>
      <c r="E88" s="40">
        <f t="shared" ref="E88:E97" si="7">D88*$B$5</f>
        <v>21069.155351999954</v>
      </c>
    </row>
    <row r="89" spans="1:10" s="145" customFormat="1" x14ac:dyDescent="0.3">
      <c r="A89" s="72" t="s">
        <v>65</v>
      </c>
      <c r="B89" s="40">
        <f>Base!B89-Base_Unconstraint!B89</f>
        <v>185.70000000000005</v>
      </c>
      <c r="C89" s="40">
        <f>Base!C89-Base_Unconstraint!C89</f>
        <v>836.57999999999993</v>
      </c>
      <c r="D89" s="40">
        <f>Base!D89-Base_Unconstraint!D89</f>
        <v>359.96615999999995</v>
      </c>
      <c r="E89" s="40">
        <f t="shared" si="7"/>
        <v>22299.903611999998</v>
      </c>
    </row>
    <row r="90" spans="1:10" s="145" customFormat="1" x14ac:dyDescent="0.3">
      <c r="A90" s="72" t="s">
        <v>66</v>
      </c>
      <c r="B90" s="40">
        <f>Base!B90-Base_Unconstraint!B90</f>
        <v>114.11000000000001</v>
      </c>
      <c r="C90" s="40">
        <f>Base!C90-Base_Unconstraint!C90</f>
        <v>557.36000000000058</v>
      </c>
      <c r="D90" s="40">
        <f>Base!D90-Base_Unconstraint!D90</f>
        <v>339.88088000000062</v>
      </c>
      <c r="E90" s="40">
        <f t="shared" si="7"/>
        <v>21055.620516000039</v>
      </c>
    </row>
    <row r="91" spans="1:10" s="145" customFormat="1" x14ac:dyDescent="0.3">
      <c r="A91" s="72" t="s">
        <v>67</v>
      </c>
      <c r="B91" s="40">
        <f>Base!B91-Base_Unconstraint!B91</f>
        <v>107.51999999999998</v>
      </c>
      <c r="C91" s="40">
        <f>Base!C91-Base_Unconstraint!C91</f>
        <v>504.82999999999993</v>
      </c>
      <c r="D91" s="40">
        <f>Base!D91-Base_Unconstraint!D91</f>
        <v>335.68111999999928</v>
      </c>
      <c r="E91" s="40">
        <f t="shared" si="7"/>
        <v>20795.445383999955</v>
      </c>
    </row>
    <row r="92" spans="1:10" s="145" customFormat="1" x14ac:dyDescent="0.3">
      <c r="A92" s="72" t="s">
        <v>68</v>
      </c>
      <c r="B92" s="40">
        <f>Base!B92-Base_Unconstraint!B92</f>
        <v>115.19999999999993</v>
      </c>
      <c r="C92" s="40">
        <f>Base!C92-Base_Unconstraint!C92</f>
        <v>550.71000000000095</v>
      </c>
      <c r="D92" s="40">
        <f>Base!D92-Base_Unconstraint!D92</f>
        <v>448.14048000000003</v>
      </c>
      <c r="E92" s="40">
        <f t="shared" si="7"/>
        <v>27762.302736000001</v>
      </c>
    </row>
    <row r="93" spans="1:10" s="145" customFormat="1" x14ac:dyDescent="0.3">
      <c r="A93" s="72" t="s">
        <v>69</v>
      </c>
      <c r="B93" s="40">
        <f>Base!B93-Base_Unconstraint!B93</f>
        <v>118.7600000000001</v>
      </c>
      <c r="C93" s="40">
        <f>Base!C93-Base_Unconstraint!C93</f>
        <v>517.42999999999847</v>
      </c>
      <c r="D93" s="40">
        <f>Base!D93-Base_Unconstraint!D93</f>
        <v>356.09023999999954</v>
      </c>
      <c r="E93" s="40">
        <f t="shared" si="7"/>
        <v>22059.790367999973</v>
      </c>
    </row>
    <row r="94" spans="1:10" s="145" customFormat="1" x14ac:dyDescent="0.3">
      <c r="A94" s="72" t="s">
        <v>70</v>
      </c>
      <c r="B94" s="40">
        <f>Base!B94-Base_Unconstraint!B94</f>
        <v>139.94000000000028</v>
      </c>
      <c r="C94" s="40">
        <f>Base!C94-Base_Unconstraint!C94</f>
        <v>714.70999999999913</v>
      </c>
      <c r="D94" s="40">
        <f>Base!D94-Base_Unconstraint!D94</f>
        <v>532.23968000000059</v>
      </c>
      <c r="E94" s="40">
        <f t="shared" si="7"/>
        <v>32972.248176000037</v>
      </c>
    </row>
    <row r="95" spans="1:10" s="145" customFormat="1" x14ac:dyDescent="0.3">
      <c r="A95" s="72" t="s">
        <v>71</v>
      </c>
      <c r="B95" s="40">
        <f>Base!B95-Base_Unconstraint!B95</f>
        <v>147.1700000000003</v>
      </c>
      <c r="C95" s="40">
        <f>Base!C95-Base_Unconstraint!C95</f>
        <v>811.03000000000065</v>
      </c>
      <c r="D95" s="40">
        <f>Base!D95-Base_Unconstraint!D95</f>
        <v>591.92920000000049</v>
      </c>
      <c r="E95" s="40">
        <f t="shared" si="7"/>
        <v>36670.013940000033</v>
      </c>
    </row>
    <row r="96" spans="1:10" s="145" customFormat="1" x14ac:dyDescent="0.3">
      <c r="A96" s="72" t="s">
        <v>72</v>
      </c>
      <c r="B96" s="40">
        <f>Base!B96-Base_Unconstraint!B96</f>
        <v>96.349999999999795</v>
      </c>
      <c r="C96" s="40">
        <f>Base!C96-Base_Unconstraint!C96</f>
        <v>516.29000000000087</v>
      </c>
      <c r="D96" s="40">
        <f>Base!D96-Base_Unconstraint!D96</f>
        <v>368.55007999999725</v>
      </c>
      <c r="E96" s="40">
        <f t="shared" si="7"/>
        <v>22831.67745599983</v>
      </c>
    </row>
    <row r="97" spans="1:5" s="145" customFormat="1" x14ac:dyDescent="0.3">
      <c r="A97" s="72" t="s">
        <v>73</v>
      </c>
      <c r="B97" s="40">
        <f>Base!B97-Base_Unconstraint!B97</f>
        <v>107.04999999999995</v>
      </c>
      <c r="C97" s="40">
        <f>Base!C97-Base_Unconstraint!C97</f>
        <v>639.11000000000058</v>
      </c>
      <c r="D97" s="40">
        <f>Base!D97-Base_Unconstraint!D97</f>
        <v>418.68680000000131</v>
      </c>
      <c r="E97" s="40">
        <f t="shared" si="7"/>
        <v>25937.647260000082</v>
      </c>
    </row>
    <row r="98" spans="1:5" s="145" customFormat="1" x14ac:dyDescent="0.3">
      <c r="A98" s="39"/>
      <c r="B98" s="39"/>
      <c r="C98" s="39"/>
      <c r="D98" s="39"/>
      <c r="E98" s="39"/>
    </row>
    <row r="99" spans="1:5" x14ac:dyDescent="0.3">
      <c r="A99" s="153"/>
      <c r="B99" s="153"/>
      <c r="C99" s="153"/>
      <c r="D99" s="153"/>
      <c r="E99" s="153"/>
    </row>
  </sheetData>
  <mergeCells count="7">
    <mergeCell ref="A86:E86"/>
    <mergeCell ref="A15:E15"/>
    <mergeCell ref="H15:L15"/>
    <mergeCell ref="A30:E30"/>
    <mergeCell ref="A44:E44"/>
    <mergeCell ref="A58:E58"/>
    <mergeCell ref="A72:E72"/>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topLeftCell="A16" zoomScale="55" zoomScaleNormal="55" workbookViewId="0">
      <selection activeCell="J21" sqref="J21"/>
    </sheetView>
  </sheetViews>
  <sheetFormatPr defaultRowHeight="14.4" x14ac:dyDescent="0.3"/>
  <cols>
    <col min="1" max="1" width="38.77734375" style="134" customWidth="1"/>
    <col min="2" max="12" width="15.77734375" style="134" customWidth="1"/>
    <col min="13" max="17" width="10.77734375" style="134" customWidth="1"/>
    <col min="18" max="16384" width="8.88671875" style="134"/>
  </cols>
  <sheetData>
    <row r="1" spans="1:18" x14ac:dyDescent="0.3">
      <c r="A1" s="140" t="s">
        <v>79</v>
      </c>
    </row>
    <row r="2" spans="1:18" x14ac:dyDescent="0.3">
      <c r="A2" s="140" t="s">
        <v>84</v>
      </c>
    </row>
    <row r="3" spans="1:18" x14ac:dyDescent="0.3">
      <c r="A3" s="140" t="s">
        <v>85</v>
      </c>
    </row>
    <row r="5" spans="1:18" x14ac:dyDescent="0.3">
      <c r="A5" s="68" t="s">
        <v>31</v>
      </c>
      <c r="B5" s="69" t="s">
        <v>33</v>
      </c>
      <c r="C5" s="69" t="s">
        <v>34</v>
      </c>
      <c r="D5" s="69" t="s">
        <v>35</v>
      </c>
      <c r="F5" s="65" t="s">
        <v>3</v>
      </c>
      <c r="G5" s="141">
        <v>61.95</v>
      </c>
    </row>
    <row r="6" spans="1:18" x14ac:dyDescent="0.3">
      <c r="A6" s="146" t="s">
        <v>4</v>
      </c>
      <c r="B6" s="147">
        <v>77.2</v>
      </c>
      <c r="C6" s="147">
        <v>48.4</v>
      </c>
      <c r="D6" s="152"/>
      <c r="F6" s="66" t="s">
        <v>2</v>
      </c>
      <c r="G6" s="142">
        <v>0.1</v>
      </c>
    </row>
    <row r="7" spans="1:18" x14ac:dyDescent="0.3">
      <c r="A7" s="146" t="s">
        <v>36</v>
      </c>
      <c r="B7" s="148">
        <v>0.02</v>
      </c>
      <c r="C7" s="148">
        <v>0.02</v>
      </c>
      <c r="D7" s="31"/>
      <c r="F7" s="66" t="s">
        <v>1</v>
      </c>
      <c r="G7" s="143">
        <v>40</v>
      </c>
    </row>
    <row r="8" spans="1:18" x14ac:dyDescent="0.3">
      <c r="A8" s="146" t="s">
        <v>30</v>
      </c>
      <c r="B8" s="149">
        <f>-PV($G$6,$G$7,B6*B7)</f>
        <v>15.09885430933034</v>
      </c>
      <c r="C8" s="32">
        <f>-PV($G$6,$G$7,C6*C7)</f>
        <v>9.4661210954868977</v>
      </c>
      <c r="D8" s="32">
        <f>-PV($G$6,$G$7,D6*D7)</f>
        <v>0</v>
      </c>
      <c r="F8" s="66" t="s">
        <v>6</v>
      </c>
      <c r="G8" s="142">
        <v>0.2</v>
      </c>
    </row>
    <row r="9" spans="1:18" x14ac:dyDescent="0.3">
      <c r="A9" s="146" t="s">
        <v>32</v>
      </c>
      <c r="B9" s="149">
        <f>B6+B8</f>
        <v>92.298854309330338</v>
      </c>
      <c r="C9" s="32">
        <f>C6+C8</f>
        <v>57.866121095486896</v>
      </c>
      <c r="D9" s="32">
        <f>D6+D8</f>
        <v>0</v>
      </c>
      <c r="F9" s="66" t="s">
        <v>7</v>
      </c>
      <c r="G9" s="142">
        <v>0.2</v>
      </c>
    </row>
    <row r="10" spans="1:18" x14ac:dyDescent="0.3">
      <c r="A10" s="146" t="s">
        <v>15</v>
      </c>
      <c r="B10" s="149">
        <f>-PMT($G$6,$G$7,B9)</f>
        <v>9.4384267927893255</v>
      </c>
      <c r="C10" s="32">
        <f>-PMT($G$6,$G$7,C9)</f>
        <v>5.9173556576554835</v>
      </c>
      <c r="D10" s="32">
        <f>-PMT($G$6,$G$7,D9)</f>
        <v>0</v>
      </c>
      <c r="F10" s="66" t="s">
        <v>8</v>
      </c>
      <c r="G10" s="142">
        <v>0.2</v>
      </c>
    </row>
    <row r="11" spans="1:18" x14ac:dyDescent="0.3">
      <c r="B11" s="145"/>
      <c r="C11" s="145"/>
      <c r="D11" s="145"/>
      <c r="F11" s="66" t="s">
        <v>9</v>
      </c>
      <c r="G11" s="142">
        <v>0.2</v>
      </c>
    </row>
    <row r="12" spans="1:18" x14ac:dyDescent="0.3">
      <c r="A12" s="138" t="s">
        <v>28</v>
      </c>
      <c r="B12" s="150">
        <f>SUM(B9:D9)</f>
        <v>150.16497540481723</v>
      </c>
      <c r="C12" s="145"/>
      <c r="D12" s="145"/>
      <c r="F12" s="67" t="s">
        <v>10</v>
      </c>
      <c r="G12" s="144">
        <v>0.2</v>
      </c>
    </row>
    <row r="13" spans="1:18" x14ac:dyDescent="0.3">
      <c r="A13" s="139" t="s">
        <v>29</v>
      </c>
      <c r="B13" s="151">
        <f>-PMT($G$6,$G$7,B12)</f>
        <v>15.355782450444806</v>
      </c>
      <c r="C13" s="145"/>
      <c r="D13" s="145"/>
    </row>
    <row r="15" spans="1:18" ht="15.6" x14ac:dyDescent="0.3">
      <c r="A15" s="397" t="s">
        <v>57</v>
      </c>
      <c r="B15" s="397"/>
      <c r="C15" s="397"/>
      <c r="D15" s="397"/>
      <c r="E15" s="397"/>
      <c r="F15" s="397"/>
      <c r="G15" s="397"/>
      <c r="H15" s="397"/>
      <c r="I15" s="397"/>
      <c r="M15" s="380"/>
      <c r="N15" s="380"/>
      <c r="O15" s="380"/>
      <c r="P15" s="380"/>
      <c r="Q15" s="380"/>
      <c r="R15" s="153"/>
    </row>
    <row r="16" spans="1:18" s="145" customFormat="1" ht="76.2" customHeight="1" x14ac:dyDescent="0.3">
      <c r="A16" s="40" t="s">
        <v>5</v>
      </c>
      <c r="B16" s="51" t="s">
        <v>151</v>
      </c>
      <c r="C16" s="51" t="s">
        <v>152</v>
      </c>
      <c r="D16" s="51" t="s">
        <v>153</v>
      </c>
      <c r="E16" s="50" t="s">
        <v>25</v>
      </c>
      <c r="F16" s="50" t="s">
        <v>15</v>
      </c>
      <c r="G16" s="51" t="s">
        <v>155</v>
      </c>
      <c r="H16" s="50" t="s">
        <v>12</v>
      </c>
      <c r="I16" s="50" t="s">
        <v>24</v>
      </c>
      <c r="J16" s="35"/>
      <c r="K16" s="35"/>
      <c r="M16" s="36"/>
      <c r="N16" s="37"/>
      <c r="O16" s="37"/>
      <c r="P16" s="37"/>
      <c r="Q16" s="38"/>
      <c r="R16" s="39"/>
    </row>
    <row r="17" spans="1:18" s="145" customFormat="1" x14ac:dyDescent="0.3">
      <c r="A17" s="72" t="s">
        <v>64</v>
      </c>
      <c r="B17" s="40">
        <f>MAX(B36,B50,B64,B78,B92)</f>
        <v>0</v>
      </c>
      <c r="C17" s="40">
        <f>MAX(C36,C50,C64,C78,C92)</f>
        <v>0</v>
      </c>
      <c r="D17" s="40">
        <f t="shared" ref="D17:D26" si="0">$G$8*D36+$G$9*D50+$G$10*D64+$G$11*D78+$G$12*D92</f>
        <v>0</v>
      </c>
      <c r="E17" s="41">
        <f t="shared" ref="E17:E26" si="1">D17*$G$5/1000</f>
        <v>0</v>
      </c>
      <c r="F17" s="384">
        <f>IF($H17="Y1",$B$10,IF($H17="Y2",$B$10+$C$10,IF($H17="Y",$B$13,IF($H17="N",0))))</f>
        <v>0</v>
      </c>
      <c r="G17" s="41">
        <f>E17-F17</f>
        <v>0</v>
      </c>
      <c r="H17" s="42" t="s">
        <v>14</v>
      </c>
      <c r="I17" s="41">
        <f>IF(OR(H17="Y",H17="Y1",H17="Y2"),E17,0)</f>
        <v>0</v>
      </c>
      <c r="J17" s="43"/>
      <c r="K17" s="43"/>
      <c r="M17" s="44"/>
      <c r="N17" s="45"/>
      <c r="O17" s="45"/>
      <c r="P17" s="45"/>
      <c r="Q17" s="33"/>
      <c r="R17" s="39"/>
    </row>
    <row r="18" spans="1:18" s="145" customFormat="1" x14ac:dyDescent="0.3">
      <c r="A18" s="72" t="s">
        <v>65</v>
      </c>
      <c r="B18" s="40">
        <f t="shared" ref="B18:C26" si="2">MAX(B37,B51,B65,B79,B93)</f>
        <v>0</v>
      </c>
      <c r="C18" s="40">
        <f t="shared" si="2"/>
        <v>0</v>
      </c>
      <c r="D18" s="40">
        <f t="shared" si="0"/>
        <v>0</v>
      </c>
      <c r="E18" s="41">
        <f t="shared" si="1"/>
        <v>0</v>
      </c>
      <c r="F18" s="384">
        <f t="shared" ref="F18:F26" si="3">IF($H18="Y1",$B$10,IF($H18="Y2",$B$10+$C$10,IF($H18="Y",$B$13,IF($H18="N",0))))</f>
        <v>0</v>
      </c>
      <c r="G18" s="41">
        <f t="shared" ref="G18:G26" si="4">E18-F18</f>
        <v>0</v>
      </c>
      <c r="H18" s="42" t="s">
        <v>14</v>
      </c>
      <c r="I18" s="41">
        <f t="shared" ref="I18:I26" si="5">IF(OR(H18="Y",H18="Y1",H18="Y2"),E18,0)</f>
        <v>0</v>
      </c>
      <c r="J18" s="43"/>
      <c r="K18" s="43"/>
      <c r="M18" s="44"/>
      <c r="N18" s="45"/>
      <c r="O18" s="45"/>
      <c r="P18" s="45"/>
      <c r="Q18" s="33"/>
      <c r="R18" s="39"/>
    </row>
    <row r="19" spans="1:18" s="145" customFormat="1" x14ac:dyDescent="0.3">
      <c r="A19" s="72" t="s">
        <v>66</v>
      </c>
      <c r="B19" s="40">
        <f t="shared" si="2"/>
        <v>0</v>
      </c>
      <c r="C19" s="40">
        <f t="shared" si="2"/>
        <v>0</v>
      </c>
      <c r="D19" s="40">
        <f t="shared" si="0"/>
        <v>0</v>
      </c>
      <c r="E19" s="41">
        <f t="shared" si="1"/>
        <v>0</v>
      </c>
      <c r="F19" s="384">
        <f t="shared" si="3"/>
        <v>0</v>
      </c>
      <c r="G19" s="41">
        <f t="shared" si="4"/>
        <v>0</v>
      </c>
      <c r="H19" s="42" t="s">
        <v>14</v>
      </c>
      <c r="I19" s="41">
        <f t="shared" si="5"/>
        <v>0</v>
      </c>
      <c r="J19" s="43"/>
      <c r="K19" s="43"/>
      <c r="M19" s="44"/>
      <c r="N19" s="45"/>
      <c r="O19" s="45"/>
      <c r="P19" s="45"/>
      <c r="Q19" s="33"/>
      <c r="R19" s="39"/>
    </row>
    <row r="20" spans="1:18" s="145" customFormat="1" x14ac:dyDescent="0.3">
      <c r="A20" s="72" t="s">
        <v>67</v>
      </c>
      <c r="B20" s="40">
        <f t="shared" si="2"/>
        <v>0</v>
      </c>
      <c r="C20" s="40">
        <f t="shared" si="2"/>
        <v>0</v>
      </c>
      <c r="D20" s="40">
        <f t="shared" si="0"/>
        <v>0</v>
      </c>
      <c r="E20" s="41">
        <f t="shared" si="1"/>
        <v>0</v>
      </c>
      <c r="F20" s="384">
        <f t="shared" si="3"/>
        <v>0</v>
      </c>
      <c r="G20" s="41">
        <f t="shared" si="4"/>
        <v>0</v>
      </c>
      <c r="H20" s="42" t="s">
        <v>14</v>
      </c>
      <c r="I20" s="41">
        <f t="shared" si="5"/>
        <v>0</v>
      </c>
      <c r="J20" s="43"/>
      <c r="K20" s="43"/>
      <c r="M20" s="44"/>
      <c r="N20" s="45"/>
      <c r="O20" s="45"/>
      <c r="P20" s="45"/>
      <c r="Q20" s="33"/>
      <c r="R20" s="39"/>
    </row>
    <row r="21" spans="1:18" s="145" customFormat="1" x14ac:dyDescent="0.3">
      <c r="A21" s="72" t="s">
        <v>68</v>
      </c>
      <c r="B21" s="40">
        <f t="shared" si="2"/>
        <v>0</v>
      </c>
      <c r="C21" s="40">
        <f t="shared" si="2"/>
        <v>0</v>
      </c>
      <c r="D21" s="40">
        <f t="shared" si="0"/>
        <v>0</v>
      </c>
      <c r="E21" s="41">
        <f t="shared" si="1"/>
        <v>0</v>
      </c>
      <c r="F21" s="384">
        <f t="shared" si="3"/>
        <v>0</v>
      </c>
      <c r="G21" s="41">
        <f t="shared" si="4"/>
        <v>0</v>
      </c>
      <c r="H21" s="42" t="s">
        <v>14</v>
      </c>
      <c r="I21" s="41">
        <f t="shared" si="5"/>
        <v>0</v>
      </c>
      <c r="J21" s="43"/>
      <c r="K21" s="43"/>
      <c r="M21" s="44"/>
      <c r="N21" s="45"/>
      <c r="O21" s="45"/>
      <c r="P21" s="45"/>
      <c r="Q21" s="33"/>
      <c r="R21" s="39"/>
    </row>
    <row r="22" spans="1:18" s="145" customFormat="1" x14ac:dyDescent="0.3">
      <c r="A22" s="72" t="s">
        <v>69</v>
      </c>
      <c r="B22" s="40">
        <f t="shared" si="2"/>
        <v>0</v>
      </c>
      <c r="C22" s="40">
        <f t="shared" si="2"/>
        <v>0</v>
      </c>
      <c r="D22" s="40">
        <f t="shared" si="0"/>
        <v>0</v>
      </c>
      <c r="E22" s="41">
        <f t="shared" si="1"/>
        <v>0</v>
      </c>
      <c r="F22" s="384">
        <f t="shared" si="3"/>
        <v>0</v>
      </c>
      <c r="G22" s="41">
        <f t="shared" si="4"/>
        <v>0</v>
      </c>
      <c r="H22" s="42" t="s">
        <v>14</v>
      </c>
      <c r="I22" s="41">
        <f t="shared" si="5"/>
        <v>0</v>
      </c>
      <c r="J22" s="43"/>
      <c r="K22" s="43"/>
      <c r="M22" s="44"/>
      <c r="N22" s="45"/>
      <c r="O22" s="45"/>
      <c r="P22" s="45"/>
      <c r="Q22" s="33"/>
      <c r="R22" s="39"/>
    </row>
    <row r="23" spans="1:18" s="145" customFormat="1" x14ac:dyDescent="0.3">
      <c r="A23" s="72" t="s">
        <v>70</v>
      </c>
      <c r="B23" s="40">
        <f t="shared" si="2"/>
        <v>284.59000000000026</v>
      </c>
      <c r="C23" s="40">
        <f t="shared" si="2"/>
        <v>2336.3599999999969</v>
      </c>
      <c r="D23" s="40">
        <f t="shared" si="0"/>
        <v>953.87875199999951</v>
      </c>
      <c r="E23" s="41">
        <f t="shared" si="1"/>
        <v>59.09278868639997</v>
      </c>
      <c r="F23" s="384">
        <f t="shared" si="3"/>
        <v>15.355782450444806</v>
      </c>
      <c r="G23" s="41">
        <f t="shared" si="4"/>
        <v>43.737006235955164</v>
      </c>
      <c r="H23" s="42" t="s">
        <v>13</v>
      </c>
      <c r="I23" s="41">
        <f t="shared" si="5"/>
        <v>59.09278868639997</v>
      </c>
      <c r="J23" s="43"/>
      <c r="K23" s="43"/>
      <c r="M23" s="44"/>
      <c r="N23" s="45"/>
      <c r="O23" s="45"/>
      <c r="P23" s="45"/>
      <c r="Q23" s="33"/>
      <c r="R23" s="39"/>
    </row>
    <row r="24" spans="1:18" s="145" customFormat="1" x14ac:dyDescent="0.3">
      <c r="A24" s="72" t="s">
        <v>71</v>
      </c>
      <c r="B24" s="40">
        <f t="shared" si="2"/>
        <v>297.96000000000004</v>
      </c>
      <c r="C24" s="40">
        <f t="shared" si="2"/>
        <v>2975.149999999996</v>
      </c>
      <c r="D24" s="40">
        <f t="shared" si="0"/>
        <v>1061.304752</v>
      </c>
      <c r="E24" s="41">
        <f t="shared" si="1"/>
        <v>65.747829386399999</v>
      </c>
      <c r="F24" s="384">
        <f t="shared" si="3"/>
        <v>15.355782450444806</v>
      </c>
      <c r="G24" s="41">
        <f t="shared" si="4"/>
        <v>50.392046935955193</v>
      </c>
      <c r="H24" s="46" t="s">
        <v>13</v>
      </c>
      <c r="I24" s="41">
        <f t="shared" si="5"/>
        <v>65.747829386399999</v>
      </c>
      <c r="J24" s="43"/>
      <c r="K24" s="43"/>
      <c r="M24" s="44"/>
      <c r="N24" s="45"/>
      <c r="O24" s="45"/>
      <c r="P24" s="45"/>
      <c r="Q24" s="33"/>
      <c r="R24" s="39"/>
    </row>
    <row r="25" spans="1:18" s="145" customFormat="1" x14ac:dyDescent="0.3">
      <c r="A25" s="72" t="s">
        <v>72</v>
      </c>
      <c r="B25" s="40">
        <f t="shared" si="2"/>
        <v>284.90000000000009</v>
      </c>
      <c r="C25" s="40">
        <f t="shared" si="2"/>
        <v>3436.2800000000043</v>
      </c>
      <c r="D25" s="40">
        <f t="shared" si="0"/>
        <v>994.3221919999994</v>
      </c>
      <c r="E25" s="41">
        <f t="shared" si="1"/>
        <v>61.598259794399965</v>
      </c>
      <c r="F25" s="384">
        <f t="shared" si="3"/>
        <v>15.355782450444806</v>
      </c>
      <c r="G25" s="41">
        <f t="shared" si="4"/>
        <v>46.242477343955159</v>
      </c>
      <c r="H25" s="46" t="s">
        <v>13</v>
      </c>
      <c r="I25" s="41">
        <f t="shared" si="5"/>
        <v>61.598259794399965</v>
      </c>
      <c r="J25" s="43"/>
      <c r="K25" s="43"/>
      <c r="L25" s="39"/>
      <c r="M25" s="44"/>
      <c r="N25" s="45"/>
      <c r="O25" s="45"/>
      <c r="P25" s="45"/>
      <c r="Q25" s="33"/>
      <c r="R25" s="39"/>
    </row>
    <row r="26" spans="1:18" s="145" customFormat="1" x14ac:dyDescent="0.3">
      <c r="A26" s="72" t="s">
        <v>73</v>
      </c>
      <c r="B26" s="40">
        <f t="shared" si="2"/>
        <v>330.26999999999975</v>
      </c>
      <c r="C26" s="40">
        <f t="shared" si="2"/>
        <v>4821.1700000000055</v>
      </c>
      <c r="D26" s="40">
        <f t="shared" si="0"/>
        <v>1236.8598880000006</v>
      </c>
      <c r="E26" s="41">
        <f t="shared" si="1"/>
        <v>76.623470061600045</v>
      </c>
      <c r="F26" s="384">
        <f t="shared" si="3"/>
        <v>15.355782450444806</v>
      </c>
      <c r="G26" s="41">
        <f t="shared" si="4"/>
        <v>61.267687611155239</v>
      </c>
      <c r="H26" s="46" t="s">
        <v>13</v>
      </c>
      <c r="I26" s="41">
        <f t="shared" si="5"/>
        <v>76.623470061600045</v>
      </c>
      <c r="J26" s="43"/>
      <c r="K26" s="43"/>
      <c r="L26" s="39"/>
      <c r="M26" s="44"/>
      <c r="N26" s="45"/>
      <c r="O26" s="45"/>
      <c r="P26" s="45"/>
      <c r="Q26" s="33"/>
      <c r="R26" s="39"/>
    </row>
    <row r="27" spans="1:18" s="145" customFormat="1" x14ac:dyDescent="0.3">
      <c r="G27" s="57"/>
      <c r="H27" s="39">
        <f>SUM(COUNTIF(H17:H26,{"Y","Y1","Y2"}))</f>
        <v>4</v>
      </c>
      <c r="I27" s="47">
        <f>-PV($G$6,$G$7-H27,I26)</f>
        <v>741.44763306288962</v>
      </c>
      <c r="J27" s="56" t="s">
        <v>11</v>
      </c>
      <c r="K27" s="361"/>
      <c r="L27" s="56"/>
      <c r="M27" s="39"/>
      <c r="Q27" s="45"/>
    </row>
    <row r="28" spans="1:18" s="351" customFormat="1" ht="15" thickBot="1" x14ac:dyDescent="0.35">
      <c r="G28" s="57"/>
      <c r="H28" s="39"/>
      <c r="I28" s="61">
        <f>NPV($G$6,I17:I25,I26+I27)</f>
        <v>402.52129124539948</v>
      </c>
      <c r="J28" s="56" t="s">
        <v>23</v>
      </c>
      <c r="K28" s="361"/>
      <c r="L28" s="56"/>
      <c r="M28" s="39"/>
      <c r="Q28" s="45"/>
    </row>
    <row r="29" spans="1:18" s="145" customFormat="1" ht="15" thickTop="1" x14ac:dyDescent="0.3">
      <c r="I29" s="47"/>
      <c r="J29" s="39"/>
      <c r="K29" s="47"/>
      <c r="L29" s="39"/>
      <c r="M29" s="39"/>
    </row>
    <row r="30" spans="1:18" s="145" customFormat="1" ht="43.2" x14ac:dyDescent="0.3">
      <c r="A30" s="34"/>
      <c r="B30" s="63" t="s">
        <v>16</v>
      </c>
      <c r="C30" s="63" t="s">
        <v>17</v>
      </c>
      <c r="D30" s="63" t="s">
        <v>18</v>
      </c>
      <c r="E30" s="63" t="s">
        <v>19</v>
      </c>
      <c r="F30" s="63" t="s">
        <v>20</v>
      </c>
      <c r="G30" s="63" t="s">
        <v>21</v>
      </c>
      <c r="H30" s="64" t="s">
        <v>28</v>
      </c>
      <c r="I30" s="64" t="s">
        <v>37</v>
      </c>
      <c r="K30" s="39"/>
      <c r="L30" s="39"/>
      <c r="M30" s="39"/>
    </row>
    <row r="31" spans="1:18" s="145" customFormat="1" x14ac:dyDescent="0.3">
      <c r="A31" s="137" t="s">
        <v>22</v>
      </c>
      <c r="B31" s="48">
        <f>NPV($G$6,F36:F44,F45+F46)/1000</f>
        <v>291.47418167862867</v>
      </c>
      <c r="C31" s="48">
        <f>NPV($G$6,F50:F58,F59+F60)/1000</f>
        <v>794.80780287573305</v>
      </c>
      <c r="D31" s="48">
        <f>NPV($G$6,F64:F72,F73+F74)/1000</f>
        <v>235.12960010876378</v>
      </c>
      <c r="E31" s="48">
        <f>NPV($G$6,F78:F86,F87+F88)/1000</f>
        <v>540.66351743741177</v>
      </c>
      <c r="F31" s="48">
        <f>NPV($G$6,F92:F100,F101+F102)/1000</f>
        <v>150.53135412646006</v>
      </c>
      <c r="G31" s="49">
        <f>B31*G8+C31*G9+D31*G10+E31*G11+F31*G12</f>
        <v>402.52129124539948</v>
      </c>
      <c r="H31" s="149">
        <f>B12</f>
        <v>150.16497540481723</v>
      </c>
      <c r="I31" s="48">
        <f>G31-H31</f>
        <v>252.35631584058225</v>
      </c>
    </row>
    <row r="32" spans="1:18" s="145" customFormat="1" x14ac:dyDescent="0.3">
      <c r="I32" s="154"/>
    </row>
    <row r="33" spans="1:14" s="145" customFormat="1" x14ac:dyDescent="0.3"/>
    <row r="34" spans="1:14" s="145" customFormat="1" ht="15.6" x14ac:dyDescent="0.3">
      <c r="A34" s="409" t="s">
        <v>52</v>
      </c>
      <c r="B34" s="410"/>
      <c r="C34" s="410"/>
      <c r="D34" s="410"/>
      <c r="E34" s="410"/>
      <c r="F34" s="411"/>
      <c r="H34" s="406" t="s">
        <v>59</v>
      </c>
      <c r="I34" s="406"/>
      <c r="J34" s="406"/>
      <c r="K34" s="406"/>
      <c r="L34" s="406"/>
    </row>
    <row r="35" spans="1:14" s="145" customFormat="1" ht="57.6" x14ac:dyDescent="0.3">
      <c r="A35" s="135" t="s">
        <v>5</v>
      </c>
      <c r="B35" s="51" t="s">
        <v>151</v>
      </c>
      <c r="C35" s="51" t="s">
        <v>152</v>
      </c>
      <c r="D35" s="51" t="s">
        <v>153</v>
      </c>
      <c r="E35" s="51" t="s">
        <v>12</v>
      </c>
      <c r="F35" s="51" t="s">
        <v>134</v>
      </c>
      <c r="H35" s="135" t="s">
        <v>5</v>
      </c>
      <c r="I35" s="51" t="s">
        <v>75</v>
      </c>
      <c r="J35" s="51" t="s">
        <v>51</v>
      </c>
      <c r="K35" s="50" t="s">
        <v>0</v>
      </c>
      <c r="L35" s="51" t="s">
        <v>58</v>
      </c>
    </row>
    <row r="36" spans="1:14" s="145" customFormat="1" x14ac:dyDescent="0.3">
      <c r="A36" s="72" t="s">
        <v>64</v>
      </c>
      <c r="B36" s="383">
        <f>IF($E36="N",0,Base!B32-Option1a!I36)</f>
        <v>0</v>
      </c>
      <c r="C36" s="40">
        <f>IF($E36="N",0,Base!C32-Option1a!J36)</f>
        <v>0</v>
      </c>
      <c r="D36" s="40">
        <f>IF($E36="N",0,Base!D32-Option1a!K36)</f>
        <v>0</v>
      </c>
      <c r="E36" s="136" t="str">
        <f t="shared" ref="E36:E45" si="6">H17</f>
        <v>N</v>
      </c>
      <c r="F36" s="52">
        <f>IF(OR(E36="Y",E36="Y1",E36="Y2"),D36*$G$5,0)</f>
        <v>0</v>
      </c>
      <c r="H36" s="72" t="s">
        <v>64</v>
      </c>
      <c r="I36" s="40">
        <v>552.92999999999995</v>
      </c>
      <c r="J36" s="40">
        <v>8766.4100000000017</v>
      </c>
      <c r="K36" s="40">
        <v>7323.46976</v>
      </c>
      <c r="L36" s="40">
        <f t="shared" ref="L36:L45" si="7">K36*$G$5</f>
        <v>453688.95163200004</v>
      </c>
      <c r="N36" s="53"/>
    </row>
    <row r="37" spans="1:14" s="145" customFormat="1" x14ac:dyDescent="0.3">
      <c r="A37" s="72" t="s">
        <v>65</v>
      </c>
      <c r="B37" s="382">
        <f>IF($E37="N",0,Base!B33-Option1a!I37)</f>
        <v>0</v>
      </c>
      <c r="C37" s="382">
        <f>IF($E37="N",0,Base!C33-Option1a!J37)</f>
        <v>0</v>
      </c>
      <c r="D37" s="382">
        <f>IF($E37="N",0,Base!D33-Option1a!K37)</f>
        <v>0</v>
      </c>
      <c r="E37" s="136" t="str">
        <f t="shared" si="6"/>
        <v>N</v>
      </c>
      <c r="F37" s="52">
        <f t="shared" ref="F37:F45" si="8">IF(OR(E37="Y",E37="Y1",E37="Y2"),D37*$G$5,0)</f>
        <v>0</v>
      </c>
      <c r="H37" s="72" t="s">
        <v>65</v>
      </c>
      <c r="I37" s="40">
        <v>601.39</v>
      </c>
      <c r="J37" s="40">
        <v>8933.2500000000018</v>
      </c>
      <c r="K37" s="40">
        <v>7328.5941599999996</v>
      </c>
      <c r="L37" s="40">
        <f t="shared" si="7"/>
        <v>454006.40821199998</v>
      </c>
    </row>
    <row r="38" spans="1:14" s="145" customFormat="1" x14ac:dyDescent="0.3">
      <c r="A38" s="72" t="s">
        <v>66</v>
      </c>
      <c r="B38" s="382">
        <f>IF($E38="N",0,Base!B34-Option1a!I38)</f>
        <v>0</v>
      </c>
      <c r="C38" s="382">
        <f>IF($E38="N",0,Base!C34-Option1a!J38)</f>
        <v>0</v>
      </c>
      <c r="D38" s="382">
        <f>IF($E38="N",0,Base!D34-Option1a!K38)</f>
        <v>0</v>
      </c>
      <c r="E38" s="136" t="str">
        <f t="shared" si="6"/>
        <v>N</v>
      </c>
      <c r="F38" s="52">
        <f t="shared" si="8"/>
        <v>0</v>
      </c>
      <c r="H38" s="72" t="s">
        <v>66</v>
      </c>
      <c r="I38" s="40">
        <v>662.25</v>
      </c>
      <c r="J38" s="40">
        <v>9318.880000000001</v>
      </c>
      <c r="K38" s="40">
        <v>7558.4941600000002</v>
      </c>
      <c r="L38" s="40">
        <f t="shared" si="7"/>
        <v>468248.71321200003</v>
      </c>
    </row>
    <row r="39" spans="1:14" s="145" customFormat="1" x14ac:dyDescent="0.3">
      <c r="A39" s="72" t="s">
        <v>67</v>
      </c>
      <c r="B39" s="382">
        <f>IF($E39="N",0,Base!B35-Option1a!I39)</f>
        <v>0</v>
      </c>
      <c r="C39" s="382">
        <f>IF($E39="N",0,Base!C35-Option1a!J39)</f>
        <v>0</v>
      </c>
      <c r="D39" s="382">
        <f>IF($E39="N",0,Base!D35-Option1a!K39)</f>
        <v>0</v>
      </c>
      <c r="E39" s="136" t="str">
        <f t="shared" si="6"/>
        <v>N</v>
      </c>
      <c r="F39" s="52">
        <f t="shared" si="8"/>
        <v>0</v>
      </c>
      <c r="H39" s="72" t="s">
        <v>67</v>
      </c>
      <c r="I39" s="40">
        <v>697.21</v>
      </c>
      <c r="J39" s="40">
        <v>9475.840000000002</v>
      </c>
      <c r="K39" s="40">
        <v>7580.8129600000002</v>
      </c>
      <c r="L39" s="40">
        <f t="shared" si="7"/>
        <v>469631.36287200003</v>
      </c>
    </row>
    <row r="40" spans="1:14" s="145" customFormat="1" x14ac:dyDescent="0.3">
      <c r="A40" s="72" t="s">
        <v>68</v>
      </c>
      <c r="B40" s="382">
        <f>IF($E40="N",0,Base!B36-Option1a!I40)</f>
        <v>0</v>
      </c>
      <c r="C40" s="382">
        <f>IF($E40="N",0,Base!C36-Option1a!J40)</f>
        <v>0</v>
      </c>
      <c r="D40" s="382">
        <f>IF($E40="N",0,Base!D36-Option1a!K40)</f>
        <v>0</v>
      </c>
      <c r="E40" s="136" t="str">
        <f t="shared" si="6"/>
        <v>N</v>
      </c>
      <c r="F40" s="52">
        <f t="shared" si="8"/>
        <v>0</v>
      </c>
      <c r="H40" s="72" t="s">
        <v>68</v>
      </c>
      <c r="I40" s="40">
        <v>798.57</v>
      </c>
      <c r="J40" s="40">
        <v>9833.0300000000025</v>
      </c>
      <c r="K40" s="40">
        <v>7702.0102399999996</v>
      </c>
      <c r="L40" s="40">
        <f t="shared" si="7"/>
        <v>477139.53436799999</v>
      </c>
    </row>
    <row r="41" spans="1:14" s="145" customFormat="1" x14ac:dyDescent="0.3">
      <c r="A41" s="72" t="s">
        <v>69</v>
      </c>
      <c r="B41" s="382">
        <f>IF($E41="N",0,Base!B37-Option1a!I41)</f>
        <v>0</v>
      </c>
      <c r="C41" s="382">
        <f>IF($E41="N",0,Base!C37-Option1a!J41)</f>
        <v>0</v>
      </c>
      <c r="D41" s="382">
        <f>IF($E41="N",0,Base!D37-Option1a!K41)</f>
        <v>0</v>
      </c>
      <c r="E41" s="136" t="str">
        <f t="shared" si="6"/>
        <v>N</v>
      </c>
      <c r="F41" s="52">
        <f t="shared" si="8"/>
        <v>0</v>
      </c>
      <c r="H41" s="72" t="s">
        <v>69</v>
      </c>
      <c r="I41" s="40">
        <v>923.06999999999994</v>
      </c>
      <c r="J41" s="40">
        <v>10647.550000000001</v>
      </c>
      <c r="K41" s="40">
        <v>8135.9713599999995</v>
      </c>
      <c r="L41" s="40">
        <f t="shared" si="7"/>
        <v>504023.42575200001</v>
      </c>
    </row>
    <row r="42" spans="1:14" s="145" customFormat="1" x14ac:dyDescent="0.3">
      <c r="A42" s="72" t="s">
        <v>70</v>
      </c>
      <c r="B42" s="382">
        <f>IF($E42="N",0,Base!B38-Option1a!I42)</f>
        <v>169.52999999999997</v>
      </c>
      <c r="C42" s="382">
        <f>IF($E42="N",0,Base!C38-Option1a!J42)</f>
        <v>1254.5100000000002</v>
      </c>
      <c r="D42" s="382">
        <f>IF($E42="N",0,Base!D38-Option1a!K42)</f>
        <v>861.33960000000116</v>
      </c>
      <c r="E42" s="136" t="str">
        <f t="shared" si="6"/>
        <v>Y</v>
      </c>
      <c r="F42" s="52">
        <f t="shared" si="8"/>
        <v>53359.988220000072</v>
      </c>
      <c r="H42" s="72" t="s">
        <v>70</v>
      </c>
      <c r="I42" s="40">
        <v>1046.82</v>
      </c>
      <c r="J42" s="40">
        <v>11854.72</v>
      </c>
      <c r="K42" s="40">
        <v>8609.1119199999994</v>
      </c>
      <c r="L42" s="40">
        <f t="shared" si="7"/>
        <v>533334.48344400001</v>
      </c>
    </row>
    <row r="43" spans="1:14" s="145" customFormat="1" x14ac:dyDescent="0.3">
      <c r="A43" s="72" t="s">
        <v>71</v>
      </c>
      <c r="B43" s="382">
        <f>IF($E43="N",0,Base!B39-Option1a!I43)</f>
        <v>181.32999999999993</v>
      </c>
      <c r="C43" s="382">
        <f>IF($E43="N",0,Base!C39-Option1a!J43)</f>
        <v>1402.1599999999999</v>
      </c>
      <c r="D43" s="382">
        <f>IF($E43="N",0,Base!D39-Option1a!K43)</f>
        <v>961.20223999999871</v>
      </c>
      <c r="E43" s="136" t="str">
        <f t="shared" si="6"/>
        <v>Y</v>
      </c>
      <c r="F43" s="52">
        <f t="shared" si="8"/>
        <v>59546.478767999921</v>
      </c>
      <c r="H43" s="72" t="s">
        <v>71</v>
      </c>
      <c r="I43" s="40">
        <v>1090.8800000000001</v>
      </c>
      <c r="J43" s="40">
        <v>13070.249999999998</v>
      </c>
      <c r="K43" s="40">
        <v>9043.618559999999</v>
      </c>
      <c r="L43" s="40">
        <f t="shared" si="7"/>
        <v>560252.16979199997</v>
      </c>
    </row>
    <row r="44" spans="1:14" s="145" customFormat="1" x14ac:dyDescent="0.3">
      <c r="A44" s="72" t="s">
        <v>72</v>
      </c>
      <c r="B44" s="382">
        <f>IF($E44="N",0,Base!B40-Option1a!I44)</f>
        <v>279.01</v>
      </c>
      <c r="C44" s="382">
        <f>IF($E44="N",0,Base!C40-Option1a!J44)</f>
        <v>1230.409999999998</v>
      </c>
      <c r="D44" s="382">
        <f>IF($E44="N",0,Base!D40-Option1a!K44)</f>
        <v>778.10048000000097</v>
      </c>
      <c r="E44" s="136" t="str">
        <f t="shared" si="6"/>
        <v>Y</v>
      </c>
      <c r="F44" s="52">
        <f t="shared" si="8"/>
        <v>48203.324736000061</v>
      </c>
      <c r="H44" s="72" t="s">
        <v>72</v>
      </c>
      <c r="I44" s="40">
        <v>1029.92</v>
      </c>
      <c r="J44" s="40">
        <v>14370.86</v>
      </c>
      <c r="K44" s="40">
        <v>9487.2785599999988</v>
      </c>
      <c r="L44" s="40">
        <f t="shared" si="7"/>
        <v>587736.90679199994</v>
      </c>
    </row>
    <row r="45" spans="1:14" s="145" customFormat="1" x14ac:dyDescent="0.3">
      <c r="A45" s="72" t="s">
        <v>73</v>
      </c>
      <c r="B45" s="382">
        <f>IF($E45="N",0,Base!B41-Option1a!I45)</f>
        <v>193.05999999999995</v>
      </c>
      <c r="C45" s="382">
        <f>IF($E45="N",0,Base!C41-Option1a!J45)</f>
        <v>1304.5599999999977</v>
      </c>
      <c r="D45" s="382">
        <f>IF($E45="N",0,Base!D41-Option1a!K45)</f>
        <v>846.54327999999987</v>
      </c>
      <c r="E45" s="136" t="str">
        <f t="shared" si="6"/>
        <v>Y</v>
      </c>
      <c r="F45" s="52">
        <f t="shared" si="8"/>
        <v>52443.356195999993</v>
      </c>
      <c r="H45" s="72" t="s">
        <v>73</v>
      </c>
      <c r="I45" s="40">
        <v>1240.2199999999998</v>
      </c>
      <c r="J45" s="40">
        <v>16758.960000000003</v>
      </c>
      <c r="K45" s="40">
        <v>10450.36728</v>
      </c>
      <c r="L45" s="40">
        <f t="shared" si="7"/>
        <v>647400.25299600011</v>
      </c>
    </row>
    <row r="46" spans="1:14" s="145" customFormat="1" ht="15" thickBot="1" x14ac:dyDescent="0.35">
      <c r="E46" s="60">
        <f>SUM(COUNTIF(E36:E45,{"Y","Y1","Y2"}))</f>
        <v>4</v>
      </c>
      <c r="F46" s="62">
        <f>-PV($G$6,$G$7-E46,F45)</f>
        <v>507468.56400706118</v>
      </c>
      <c r="G46" s="55" t="s">
        <v>11</v>
      </c>
    </row>
    <row r="47" spans="1:14" s="145" customFormat="1" ht="15" thickTop="1" x14ac:dyDescent="0.3"/>
    <row r="48" spans="1:14" s="145" customFormat="1" ht="15.6" x14ac:dyDescent="0.3">
      <c r="A48" s="409" t="s">
        <v>56</v>
      </c>
      <c r="B48" s="410"/>
      <c r="C48" s="410"/>
      <c r="D48" s="410"/>
      <c r="E48" s="410"/>
      <c r="F48" s="411"/>
      <c r="H48" s="406" t="s">
        <v>60</v>
      </c>
      <c r="I48" s="406"/>
      <c r="J48" s="406"/>
      <c r="K48" s="406"/>
      <c r="L48" s="406"/>
    </row>
    <row r="49" spans="1:12" s="145" customFormat="1" ht="57.6" x14ac:dyDescent="0.3">
      <c r="A49" s="135" t="s">
        <v>5</v>
      </c>
      <c r="B49" s="51" t="s">
        <v>151</v>
      </c>
      <c r="C49" s="51" t="s">
        <v>152</v>
      </c>
      <c r="D49" s="51" t="s">
        <v>153</v>
      </c>
      <c r="E49" s="51" t="s">
        <v>12</v>
      </c>
      <c r="F49" s="51" t="s">
        <v>134</v>
      </c>
      <c r="H49" s="135" t="s">
        <v>5</v>
      </c>
      <c r="I49" s="51" t="s">
        <v>75</v>
      </c>
      <c r="J49" s="51" t="s">
        <v>51</v>
      </c>
      <c r="K49" s="50" t="s">
        <v>0</v>
      </c>
      <c r="L49" s="51" t="s">
        <v>58</v>
      </c>
    </row>
    <row r="50" spans="1:12" s="145" customFormat="1" x14ac:dyDescent="0.3">
      <c r="A50" s="72" t="s">
        <v>64</v>
      </c>
      <c r="B50" s="382">
        <f>IF($E50="N",0,Base!B46-Option1a!I50)</f>
        <v>0</v>
      </c>
      <c r="C50" s="382">
        <f>IF($E50="N",0,Base!C46-Option1a!J50)</f>
        <v>0</v>
      </c>
      <c r="D50" s="382">
        <f>IF($E50="N",0,Base!D46-Option1a!K50)</f>
        <v>0</v>
      </c>
      <c r="E50" s="136" t="str">
        <f>E36</f>
        <v>N</v>
      </c>
      <c r="F50" s="52">
        <f>IF(OR(E50="Y",E50="Y1",E50="Y2"),D50*$G$5,0)</f>
        <v>0</v>
      </c>
      <c r="H50" s="72" t="s">
        <v>64</v>
      </c>
      <c r="I50" s="40">
        <v>552.92999999999995</v>
      </c>
      <c r="J50" s="40">
        <v>8766.4100000000017</v>
      </c>
      <c r="K50" s="40">
        <v>7323.46976</v>
      </c>
      <c r="L50" s="40">
        <f t="shared" ref="L50:L59" si="9">K50*$G$5</f>
        <v>453688.95163200004</v>
      </c>
    </row>
    <row r="51" spans="1:12" s="145" customFormat="1" x14ac:dyDescent="0.3">
      <c r="A51" s="72" t="s">
        <v>65</v>
      </c>
      <c r="B51" s="382">
        <f>IF($E51="N",0,Base!B47-Option1a!I51)</f>
        <v>0</v>
      </c>
      <c r="C51" s="382">
        <f>IF($E51="N",0,Base!C47-Option1a!J51)</f>
        <v>0</v>
      </c>
      <c r="D51" s="382">
        <f>IF($E51="N",0,Base!D47-Option1a!K51)</f>
        <v>0</v>
      </c>
      <c r="E51" s="136" t="str">
        <f t="shared" ref="E51:E59" si="10">E37</f>
        <v>N</v>
      </c>
      <c r="F51" s="52">
        <f t="shared" ref="F51:F59" si="11">IF(OR(E51="Y",E51="Y1",E51="Y2"),D51*$G$5,0)</f>
        <v>0</v>
      </c>
      <c r="H51" s="72" t="s">
        <v>65</v>
      </c>
      <c r="I51" s="40">
        <v>607.22000000000014</v>
      </c>
      <c r="J51" s="40">
        <v>8942.0400000000009</v>
      </c>
      <c r="K51" s="40">
        <v>7327.1738399999995</v>
      </c>
      <c r="L51" s="40">
        <f t="shared" si="9"/>
        <v>453918.41938799998</v>
      </c>
    </row>
    <row r="52" spans="1:12" s="145" customFormat="1" x14ac:dyDescent="0.3">
      <c r="A52" s="72" t="s">
        <v>66</v>
      </c>
      <c r="B52" s="382">
        <f>IF($E52="N",0,Base!B48-Option1a!I52)</f>
        <v>0</v>
      </c>
      <c r="C52" s="382">
        <f>IF($E52="N",0,Base!C48-Option1a!J52)</f>
        <v>0</v>
      </c>
      <c r="D52" s="382">
        <f>IF($E52="N",0,Base!D48-Option1a!K52)</f>
        <v>0</v>
      </c>
      <c r="E52" s="136" t="str">
        <f t="shared" si="10"/>
        <v>N</v>
      </c>
      <c r="F52" s="52">
        <f t="shared" si="11"/>
        <v>0</v>
      </c>
      <c r="H52" s="72" t="s">
        <v>66</v>
      </c>
      <c r="I52" s="40">
        <v>675.47</v>
      </c>
      <c r="J52" s="40">
        <v>9339.9000000000015</v>
      </c>
      <c r="K52" s="40">
        <v>7561.48776</v>
      </c>
      <c r="L52" s="40">
        <f t="shared" si="9"/>
        <v>468434.16673200001</v>
      </c>
    </row>
    <row r="53" spans="1:12" s="145" customFormat="1" x14ac:dyDescent="0.3">
      <c r="A53" s="72" t="s">
        <v>67</v>
      </c>
      <c r="B53" s="382">
        <f>IF($E53="N",0,Base!B49-Option1a!I53)</f>
        <v>0</v>
      </c>
      <c r="C53" s="382">
        <f>IF($E53="N",0,Base!C49-Option1a!J53)</f>
        <v>0</v>
      </c>
      <c r="D53" s="382">
        <f>IF($E53="N",0,Base!D49-Option1a!K53)</f>
        <v>0</v>
      </c>
      <c r="E53" s="136" t="str">
        <f t="shared" si="10"/>
        <v>N</v>
      </c>
      <c r="F53" s="52">
        <f t="shared" si="11"/>
        <v>0</v>
      </c>
      <c r="H53" s="72" t="s">
        <v>67</v>
      </c>
      <c r="I53" s="40">
        <v>773.64</v>
      </c>
      <c r="J53" s="40">
        <v>9690.590000000002</v>
      </c>
      <c r="K53" s="40">
        <v>7758.2434399999993</v>
      </c>
      <c r="L53" s="40">
        <f t="shared" si="9"/>
        <v>480623.18110799999</v>
      </c>
    </row>
    <row r="54" spans="1:12" s="145" customFormat="1" x14ac:dyDescent="0.3">
      <c r="A54" s="72" t="s">
        <v>68</v>
      </c>
      <c r="B54" s="382">
        <f>IF($E54="N",0,Base!B50-Option1a!I54)</f>
        <v>0</v>
      </c>
      <c r="C54" s="382">
        <f>IF($E54="N",0,Base!C50-Option1a!J54)</f>
        <v>0</v>
      </c>
      <c r="D54" s="382">
        <f>IF($E54="N",0,Base!D50-Option1a!K54)</f>
        <v>0</v>
      </c>
      <c r="E54" s="136" t="str">
        <f t="shared" si="10"/>
        <v>N</v>
      </c>
      <c r="F54" s="52">
        <f t="shared" si="11"/>
        <v>0</v>
      </c>
      <c r="H54" s="72" t="s">
        <v>68</v>
      </c>
      <c r="I54" s="40">
        <v>1102.8900000000001</v>
      </c>
      <c r="J54" s="40">
        <v>10425.980000000001</v>
      </c>
      <c r="K54" s="40">
        <v>8093.9275999999991</v>
      </c>
      <c r="L54" s="40">
        <f t="shared" si="9"/>
        <v>501418.81481999997</v>
      </c>
    </row>
    <row r="55" spans="1:12" s="145" customFormat="1" x14ac:dyDescent="0.3">
      <c r="A55" s="72" t="s">
        <v>69</v>
      </c>
      <c r="B55" s="382">
        <f>IF($E55="N",0,Base!B51-Option1a!I55)</f>
        <v>0</v>
      </c>
      <c r="C55" s="382">
        <f>IF($E55="N",0,Base!C51-Option1a!J55)</f>
        <v>0</v>
      </c>
      <c r="D55" s="382">
        <f>IF($E55="N",0,Base!D51-Option1a!K55)</f>
        <v>0</v>
      </c>
      <c r="E55" s="136" t="str">
        <f t="shared" si="10"/>
        <v>N</v>
      </c>
      <c r="F55" s="52">
        <f t="shared" si="11"/>
        <v>0</v>
      </c>
      <c r="H55" s="72" t="s">
        <v>69</v>
      </c>
      <c r="I55" s="40">
        <v>1118.79</v>
      </c>
      <c r="J55" s="40">
        <v>10939.75</v>
      </c>
      <c r="K55" s="40">
        <v>8424.1693599999999</v>
      </c>
      <c r="L55" s="40">
        <f t="shared" si="9"/>
        <v>521877.29185199999</v>
      </c>
    </row>
    <row r="56" spans="1:12" s="145" customFormat="1" x14ac:dyDescent="0.3">
      <c r="A56" s="72" t="s">
        <v>70</v>
      </c>
      <c r="B56" s="382">
        <f>IF($E56="N",0,Base!B52-Option1a!I56)</f>
        <v>66.330000000000155</v>
      </c>
      <c r="C56" s="382">
        <f>IF($E56="N",0,Base!C52-Option1a!J56)</f>
        <v>2336.3599999999969</v>
      </c>
      <c r="D56" s="382">
        <f>IF($E56="N",0,Base!D52-Option1a!K56)</f>
        <v>1505.0088799999976</v>
      </c>
      <c r="E56" s="136" t="str">
        <f t="shared" si="10"/>
        <v>Y</v>
      </c>
      <c r="F56" s="52">
        <f t="shared" si="11"/>
        <v>93235.300115999853</v>
      </c>
      <c r="H56" s="72" t="s">
        <v>70</v>
      </c>
      <c r="I56" s="40">
        <v>1337.4299999999998</v>
      </c>
      <c r="J56" s="40">
        <v>12341.609999999999</v>
      </c>
      <c r="K56" s="40">
        <v>8889.5683200000003</v>
      </c>
      <c r="L56" s="40">
        <f t="shared" si="9"/>
        <v>550708.75742400007</v>
      </c>
    </row>
    <row r="57" spans="1:12" s="145" customFormat="1" x14ac:dyDescent="0.3">
      <c r="A57" s="72" t="s">
        <v>71</v>
      </c>
      <c r="B57" s="382">
        <f>IF($E57="N",0,Base!B53-Option1a!I57)</f>
        <v>158.60000000000014</v>
      </c>
      <c r="C57" s="382">
        <f>IF($E57="N",0,Base!C53-Option1a!J57)</f>
        <v>2975.149999999996</v>
      </c>
      <c r="D57" s="382">
        <f>IF($E57="N",0,Base!D53-Option1a!K57)</f>
        <v>1767.659599999999</v>
      </c>
      <c r="E57" s="136" t="str">
        <f t="shared" si="10"/>
        <v>Y</v>
      </c>
      <c r="F57" s="52">
        <f t="shared" si="11"/>
        <v>109506.51221999995</v>
      </c>
      <c r="H57" s="72" t="s">
        <v>71</v>
      </c>
      <c r="I57" s="40">
        <v>1282.9099999999999</v>
      </c>
      <c r="J57" s="40">
        <v>13542.230000000001</v>
      </c>
      <c r="K57" s="40">
        <v>9348.3984799999998</v>
      </c>
      <c r="L57" s="40">
        <f t="shared" si="9"/>
        <v>579133.285836</v>
      </c>
    </row>
    <row r="58" spans="1:12" s="145" customFormat="1" x14ac:dyDescent="0.3">
      <c r="A58" s="72" t="s">
        <v>72</v>
      </c>
      <c r="B58" s="382">
        <f>IF($E58="N",0,Base!B54-Option1a!I58)</f>
        <v>108.25</v>
      </c>
      <c r="C58" s="382">
        <f>IF($E58="N",0,Base!C54-Option1a!J58)</f>
        <v>3436.2800000000043</v>
      </c>
      <c r="D58" s="382">
        <f>IF($E58="N",0,Base!D54-Option1a!K58)</f>
        <v>1882.2999199999995</v>
      </c>
      <c r="E58" s="136" t="str">
        <f t="shared" si="10"/>
        <v>Y</v>
      </c>
      <c r="F58" s="52">
        <f t="shared" si="11"/>
        <v>116608.48004399997</v>
      </c>
      <c r="H58" s="72" t="s">
        <v>72</v>
      </c>
      <c r="I58" s="40">
        <v>1557.65</v>
      </c>
      <c r="J58" s="40">
        <v>15728.949999999999</v>
      </c>
      <c r="K58" s="40">
        <v>10431.9028</v>
      </c>
      <c r="L58" s="40">
        <f t="shared" si="9"/>
        <v>646256.37846000004</v>
      </c>
    </row>
    <row r="59" spans="1:12" s="145" customFormat="1" x14ac:dyDescent="0.3">
      <c r="A59" s="72" t="s">
        <v>73</v>
      </c>
      <c r="B59" s="382">
        <f>IF($E59="N",0,Base!B55-Option1a!I59)</f>
        <v>215.29999999999995</v>
      </c>
      <c r="C59" s="382">
        <f>IF($E59="N",0,Base!C55-Option1a!J59)</f>
        <v>4821.1700000000055</v>
      </c>
      <c r="D59" s="382">
        <f>IF($E59="N",0,Base!D55-Option1a!K59)</f>
        <v>2534.9770400000016</v>
      </c>
      <c r="E59" s="136" t="str">
        <f t="shared" si="10"/>
        <v>Y</v>
      </c>
      <c r="F59" s="52">
        <f t="shared" si="11"/>
        <v>157041.82762800012</v>
      </c>
      <c r="H59" s="72" t="s">
        <v>73</v>
      </c>
      <c r="I59" s="40">
        <v>1734.53</v>
      </c>
      <c r="J59" s="40">
        <v>18335.869999999995</v>
      </c>
      <c r="K59" s="40">
        <v>11457.350719999999</v>
      </c>
      <c r="L59" s="40">
        <f t="shared" si="9"/>
        <v>709782.87710399996</v>
      </c>
    </row>
    <row r="60" spans="1:12" s="145" customFormat="1" ht="15" thickBot="1" x14ac:dyDescent="0.35">
      <c r="E60" s="60">
        <f>SUM(COUNTIF(E50:E59,{"Y","Y1","Y2"}))</f>
        <v>4</v>
      </c>
      <c r="F60" s="62">
        <f>-PV($G$6,$G$7-E60,F59)</f>
        <v>1519616.5260205853</v>
      </c>
      <c r="G60" s="55" t="s">
        <v>11</v>
      </c>
    </row>
    <row r="61" spans="1:12" s="145" customFormat="1" ht="15" thickTop="1" x14ac:dyDescent="0.3"/>
    <row r="62" spans="1:12" s="145" customFormat="1" ht="15.6" x14ac:dyDescent="0.3">
      <c r="A62" s="409" t="s">
        <v>55</v>
      </c>
      <c r="B62" s="410"/>
      <c r="C62" s="410"/>
      <c r="D62" s="410"/>
      <c r="E62" s="410"/>
      <c r="F62" s="411"/>
      <c r="H62" s="406" t="s">
        <v>61</v>
      </c>
      <c r="I62" s="406"/>
      <c r="J62" s="406"/>
      <c r="K62" s="406"/>
      <c r="L62" s="406"/>
    </row>
    <row r="63" spans="1:12" s="145" customFormat="1" ht="57.6" x14ac:dyDescent="0.3">
      <c r="A63" s="135" t="s">
        <v>5</v>
      </c>
      <c r="B63" s="51" t="s">
        <v>151</v>
      </c>
      <c r="C63" s="51" t="s">
        <v>152</v>
      </c>
      <c r="D63" s="51" t="s">
        <v>153</v>
      </c>
      <c r="E63" s="51" t="s">
        <v>12</v>
      </c>
      <c r="F63" s="51" t="s">
        <v>134</v>
      </c>
      <c r="H63" s="135" t="s">
        <v>5</v>
      </c>
      <c r="I63" s="51" t="s">
        <v>75</v>
      </c>
      <c r="J63" s="51" t="s">
        <v>51</v>
      </c>
      <c r="K63" s="50" t="s">
        <v>0</v>
      </c>
      <c r="L63" s="51" t="s">
        <v>58</v>
      </c>
    </row>
    <row r="64" spans="1:12" s="145" customFormat="1" x14ac:dyDescent="0.3">
      <c r="A64" s="72" t="s">
        <v>64</v>
      </c>
      <c r="B64" s="382">
        <f>IF($E64="N",0,Base!B60-Option1a!I64)</f>
        <v>0</v>
      </c>
      <c r="C64" s="382">
        <f>IF($E64="N",0,Base!C60-Option1a!J64)</f>
        <v>0</v>
      </c>
      <c r="D64" s="382">
        <f>IF($E64="N",0,Base!D60-Option1a!K64)</f>
        <v>0</v>
      </c>
      <c r="E64" s="136" t="str">
        <f>E36</f>
        <v>N</v>
      </c>
      <c r="F64" s="52">
        <f>IF(OR(E64="Y",E64="Y1",E64="Y2"),D64*$G$5,0)</f>
        <v>0</v>
      </c>
      <c r="H64" s="72" t="s">
        <v>64</v>
      </c>
      <c r="I64" s="40">
        <v>523.51</v>
      </c>
      <c r="J64" s="40">
        <v>8619.2799999999988</v>
      </c>
      <c r="K64" s="40">
        <v>7213.3043199999993</v>
      </c>
      <c r="L64" s="40">
        <f t="shared" ref="L64:L73" si="12">K64*$G$5</f>
        <v>446864.20262399997</v>
      </c>
    </row>
    <row r="65" spans="1:15" s="145" customFormat="1" x14ac:dyDescent="0.3">
      <c r="A65" s="72" t="s">
        <v>65</v>
      </c>
      <c r="B65" s="382">
        <f>IF($E65="N",0,Base!B61-Option1a!I65)</f>
        <v>0</v>
      </c>
      <c r="C65" s="382">
        <f>IF($E65="N",0,Base!C61-Option1a!J65)</f>
        <v>0</v>
      </c>
      <c r="D65" s="382">
        <f>IF($E65="N",0,Base!D61-Option1a!K65)</f>
        <v>0</v>
      </c>
      <c r="E65" s="136" t="str">
        <f t="shared" ref="E65:E73" si="13">E37</f>
        <v>N</v>
      </c>
      <c r="F65" s="52">
        <f t="shared" ref="F65:F73" si="14">IF(OR(E65="Y",E65="Y1",E65="Y2"),D65*$G$5,0)</f>
        <v>0</v>
      </c>
      <c r="H65" s="72" t="s">
        <v>65</v>
      </c>
      <c r="I65" s="40">
        <v>546.66</v>
      </c>
      <c r="J65" s="40">
        <v>8755.49</v>
      </c>
      <c r="K65" s="40">
        <v>7261.9853599999997</v>
      </c>
      <c r="L65" s="40">
        <f t="shared" si="12"/>
        <v>449879.99305200001</v>
      </c>
    </row>
    <row r="66" spans="1:15" s="145" customFormat="1" x14ac:dyDescent="0.3">
      <c r="A66" s="72" t="s">
        <v>66</v>
      </c>
      <c r="B66" s="382">
        <f>IF($E66="N",0,Base!B62-Option1a!I66)</f>
        <v>0</v>
      </c>
      <c r="C66" s="382">
        <f>IF($E66="N",0,Base!C62-Option1a!J66)</f>
        <v>0</v>
      </c>
      <c r="D66" s="382">
        <f>IF($E66="N",0,Base!D62-Option1a!K66)</f>
        <v>0</v>
      </c>
      <c r="E66" s="136" t="str">
        <f t="shared" si="13"/>
        <v>N</v>
      </c>
      <c r="F66" s="52">
        <f t="shared" si="14"/>
        <v>0</v>
      </c>
      <c r="H66" s="72" t="s">
        <v>66</v>
      </c>
      <c r="I66" s="40">
        <v>563.01</v>
      </c>
      <c r="J66" s="40">
        <v>8863.23</v>
      </c>
      <c r="K66" s="40">
        <v>7331.3548799999999</v>
      </c>
      <c r="L66" s="40">
        <f t="shared" si="12"/>
        <v>454177.43481599999</v>
      </c>
    </row>
    <row r="67" spans="1:15" s="145" customFormat="1" x14ac:dyDescent="0.3">
      <c r="A67" s="72" t="s">
        <v>67</v>
      </c>
      <c r="B67" s="382">
        <f>IF($E67="N",0,Base!B63-Option1a!I67)</f>
        <v>0</v>
      </c>
      <c r="C67" s="382">
        <f>IF($E67="N",0,Base!C63-Option1a!J67)</f>
        <v>0</v>
      </c>
      <c r="D67" s="382">
        <f>IF($E67="N",0,Base!D63-Option1a!K67)</f>
        <v>0</v>
      </c>
      <c r="E67" s="136" t="str">
        <f t="shared" si="13"/>
        <v>N</v>
      </c>
      <c r="F67" s="52">
        <f t="shared" si="14"/>
        <v>0</v>
      </c>
      <c r="H67" s="72" t="s">
        <v>67</v>
      </c>
      <c r="I67" s="40">
        <v>576.21</v>
      </c>
      <c r="J67" s="40">
        <v>8922.18</v>
      </c>
      <c r="K67" s="40">
        <v>7333.5182399999994</v>
      </c>
      <c r="L67" s="40">
        <f t="shared" si="12"/>
        <v>454311.45496800001</v>
      </c>
    </row>
    <row r="68" spans="1:15" s="145" customFormat="1" x14ac:dyDescent="0.3">
      <c r="A68" s="72" t="s">
        <v>68</v>
      </c>
      <c r="B68" s="382">
        <f>IF($E68="N",0,Base!B64-Option1a!I68)</f>
        <v>0</v>
      </c>
      <c r="C68" s="382">
        <f>IF($E68="N",0,Base!C64-Option1a!J68)</f>
        <v>0</v>
      </c>
      <c r="D68" s="382">
        <f>IF($E68="N",0,Base!D64-Option1a!K68)</f>
        <v>0</v>
      </c>
      <c r="E68" s="136" t="str">
        <f t="shared" si="13"/>
        <v>N</v>
      </c>
      <c r="F68" s="52">
        <f t="shared" si="14"/>
        <v>0</v>
      </c>
      <c r="H68" s="72" t="s">
        <v>68</v>
      </c>
      <c r="I68" s="40">
        <v>661.15</v>
      </c>
      <c r="J68" s="40">
        <v>9157.33</v>
      </c>
      <c r="K68" s="40">
        <v>7439.8177599999999</v>
      </c>
      <c r="L68" s="40">
        <f t="shared" si="12"/>
        <v>460896.71023200004</v>
      </c>
    </row>
    <row r="69" spans="1:15" s="145" customFormat="1" x14ac:dyDescent="0.3">
      <c r="A69" s="72" t="s">
        <v>69</v>
      </c>
      <c r="B69" s="382">
        <f>IF($E69="N",0,Base!B65-Option1a!I69)</f>
        <v>0</v>
      </c>
      <c r="C69" s="382">
        <f>IF($E69="N",0,Base!C65-Option1a!J69)</f>
        <v>0</v>
      </c>
      <c r="D69" s="382">
        <f>IF($E69="N",0,Base!D65-Option1a!K69)</f>
        <v>0</v>
      </c>
      <c r="E69" s="136" t="str">
        <f t="shared" si="13"/>
        <v>N</v>
      </c>
      <c r="F69" s="52">
        <f t="shared" si="14"/>
        <v>0</v>
      </c>
      <c r="H69" s="72" t="s">
        <v>69</v>
      </c>
      <c r="I69" s="40">
        <v>741.1500000000002</v>
      </c>
      <c r="J69" s="40">
        <v>9524.1700000000019</v>
      </c>
      <c r="K69" s="40">
        <v>7653.001839999999</v>
      </c>
      <c r="L69" s="40">
        <f t="shared" si="12"/>
        <v>474103.46398799994</v>
      </c>
    </row>
    <row r="70" spans="1:15" s="145" customFormat="1" x14ac:dyDescent="0.3">
      <c r="A70" s="72" t="s">
        <v>70</v>
      </c>
      <c r="B70" s="382">
        <f>IF($E70="N",0,Base!B66-Option1a!I70)</f>
        <v>284.59000000000026</v>
      </c>
      <c r="C70" s="382">
        <f>IF($E70="N",0,Base!C66-Option1a!J70)</f>
        <v>1140.7100000000009</v>
      </c>
      <c r="D70" s="382">
        <f>IF($E70="N",0,Base!D66-Option1a!K70)</f>
        <v>715.48879999999917</v>
      </c>
      <c r="E70" s="136" t="str">
        <f t="shared" si="13"/>
        <v>Y</v>
      </c>
      <c r="F70" s="52">
        <f t="shared" si="14"/>
        <v>44324.531159999948</v>
      </c>
      <c r="H70" s="72" t="s">
        <v>70</v>
      </c>
      <c r="I70" s="40">
        <v>782.96999999999991</v>
      </c>
      <c r="J70" s="40">
        <v>9904.0299999999988</v>
      </c>
      <c r="K70" s="40">
        <v>7815.4453599999997</v>
      </c>
      <c r="L70" s="40">
        <f t="shared" si="12"/>
        <v>484166.84005200001</v>
      </c>
    </row>
    <row r="71" spans="1:15" s="145" customFormat="1" x14ac:dyDescent="0.3">
      <c r="A71" s="72" t="s">
        <v>71</v>
      </c>
      <c r="B71" s="382">
        <f>IF($E71="N",0,Base!B67-Option1a!I71)</f>
        <v>270.54999999999995</v>
      </c>
      <c r="C71" s="382">
        <f>IF($E71="N",0,Base!C67-Option1a!J71)</f>
        <v>1157.25</v>
      </c>
      <c r="D71" s="382">
        <f>IF($E71="N",0,Base!D67-Option1a!K71)</f>
        <v>725.13839999999982</v>
      </c>
      <c r="E71" s="136" t="str">
        <f t="shared" si="13"/>
        <v>Y</v>
      </c>
      <c r="F71" s="52">
        <f t="shared" si="14"/>
        <v>44922.323879999989</v>
      </c>
      <c r="H71" s="72" t="s">
        <v>71</v>
      </c>
      <c r="I71" s="40">
        <v>828.56999999999994</v>
      </c>
      <c r="J71" s="40">
        <v>10377.36</v>
      </c>
      <c r="K71" s="40">
        <v>8039.0087999999996</v>
      </c>
      <c r="L71" s="40">
        <f t="shared" si="12"/>
        <v>498016.59516000003</v>
      </c>
    </row>
    <row r="72" spans="1:15" s="145" customFormat="1" x14ac:dyDescent="0.3">
      <c r="A72" s="72" t="s">
        <v>72</v>
      </c>
      <c r="B72" s="382">
        <f>IF($E72="N",0,Base!B68-Option1a!I72)</f>
        <v>284.90000000000009</v>
      </c>
      <c r="C72" s="382">
        <f>IF($E72="N",0,Base!C68-Option1a!J72)</f>
        <v>946.70999999999913</v>
      </c>
      <c r="D72" s="382">
        <f>IF($E72="N",0,Base!D68-Option1a!K72)</f>
        <v>594.23471999999856</v>
      </c>
      <c r="E72" s="136" t="str">
        <f t="shared" si="13"/>
        <v>Y</v>
      </c>
      <c r="F72" s="52">
        <f t="shared" si="14"/>
        <v>36812.84090399991</v>
      </c>
      <c r="H72" s="72" t="s">
        <v>72</v>
      </c>
      <c r="I72" s="40">
        <v>758.18000000000006</v>
      </c>
      <c r="J72" s="40">
        <v>10544.13</v>
      </c>
      <c r="K72" s="40">
        <v>7972.7162399999997</v>
      </c>
      <c r="L72" s="40">
        <f t="shared" si="12"/>
        <v>493909.771068</v>
      </c>
    </row>
    <row r="73" spans="1:15" s="145" customFormat="1" x14ac:dyDescent="0.3">
      <c r="A73" s="72" t="s">
        <v>73</v>
      </c>
      <c r="B73" s="382">
        <f>IF($E73="N",0,Base!B69-Option1a!I73)</f>
        <v>299.37</v>
      </c>
      <c r="C73" s="382">
        <f>IF($E73="N",0,Base!C69-Option1a!J73)</f>
        <v>1116.6499999999996</v>
      </c>
      <c r="D73" s="382">
        <f>IF($E73="N",0,Base!D69-Option1a!K73)</f>
        <v>689.46608000000015</v>
      </c>
      <c r="E73" s="136" t="str">
        <f t="shared" si="13"/>
        <v>Y</v>
      </c>
      <c r="F73" s="52">
        <f t="shared" si="14"/>
        <v>42712.423656000014</v>
      </c>
      <c r="H73" s="72" t="s">
        <v>73</v>
      </c>
      <c r="I73" s="40">
        <v>784.75000000000011</v>
      </c>
      <c r="J73" s="40">
        <v>11385.88</v>
      </c>
      <c r="K73" s="40">
        <v>8248.72264</v>
      </c>
      <c r="L73" s="40">
        <f t="shared" si="12"/>
        <v>511008.36754800001</v>
      </c>
    </row>
    <row r="74" spans="1:15" s="145" customFormat="1" ht="15" thickBot="1" x14ac:dyDescent="0.35">
      <c r="E74" s="60">
        <f>SUM(COUNTIF(E64:E73,{"Y","Y1","Y2"}))</f>
        <v>4</v>
      </c>
      <c r="F74" s="62">
        <f>-PV($G$6,$G$7-E74,F73)</f>
        <v>413307.1159092749</v>
      </c>
      <c r="G74" s="55" t="s">
        <v>11</v>
      </c>
    </row>
    <row r="75" spans="1:15" s="145" customFormat="1" ht="15" thickTop="1" x14ac:dyDescent="0.3"/>
    <row r="76" spans="1:15" s="145" customFormat="1" ht="15.6" x14ac:dyDescent="0.3">
      <c r="A76" s="409" t="s">
        <v>54</v>
      </c>
      <c r="B76" s="410"/>
      <c r="C76" s="410"/>
      <c r="D76" s="410"/>
      <c r="E76" s="410"/>
      <c r="F76" s="411"/>
      <c r="H76" s="406" t="s">
        <v>62</v>
      </c>
      <c r="I76" s="406"/>
      <c r="J76" s="406"/>
      <c r="K76" s="406"/>
      <c r="L76" s="406"/>
    </row>
    <row r="77" spans="1:15" s="145" customFormat="1" ht="57.6" x14ac:dyDescent="0.3">
      <c r="A77" s="135" t="s">
        <v>5</v>
      </c>
      <c r="B77" s="51" t="s">
        <v>151</v>
      </c>
      <c r="C77" s="51" t="s">
        <v>152</v>
      </c>
      <c r="D77" s="51" t="s">
        <v>153</v>
      </c>
      <c r="E77" s="51" t="s">
        <v>12</v>
      </c>
      <c r="F77" s="51" t="s">
        <v>134</v>
      </c>
      <c r="H77" s="135" t="s">
        <v>5</v>
      </c>
      <c r="I77" s="51" t="s">
        <v>75</v>
      </c>
      <c r="J77" s="51" t="s">
        <v>51</v>
      </c>
      <c r="K77" s="50" t="s">
        <v>0</v>
      </c>
      <c r="L77" s="51" t="s">
        <v>58</v>
      </c>
    </row>
    <row r="78" spans="1:15" s="145" customFormat="1" x14ac:dyDescent="0.3">
      <c r="A78" s="72" t="s">
        <v>64</v>
      </c>
      <c r="B78" s="382">
        <f>IF($E78="N",0,Base!B74-Option1a!I78)</f>
        <v>0</v>
      </c>
      <c r="C78" s="382">
        <f>IF($E78="N",0,Base!C74-Option1a!J78)</f>
        <v>0</v>
      </c>
      <c r="D78" s="382">
        <f>IF($E78="N",0,Base!D74-Option1a!K78)</f>
        <v>0</v>
      </c>
      <c r="E78" s="136" t="str">
        <f>E36</f>
        <v>N</v>
      </c>
      <c r="F78" s="52">
        <f>IF(OR(E78="Y",E78="Y1",E78="Y2"),D78*$G$5,0)</f>
        <v>0</v>
      </c>
      <c r="H78" s="72" t="s">
        <v>64</v>
      </c>
      <c r="I78" s="40">
        <v>523.51</v>
      </c>
      <c r="J78" s="40">
        <v>8619.2799999999988</v>
      </c>
      <c r="K78" s="40">
        <v>7213.3043199999993</v>
      </c>
      <c r="L78" s="40">
        <f t="shared" ref="L78:L87" si="15">K78*$G$5</f>
        <v>446864.20262399997</v>
      </c>
    </row>
    <row r="79" spans="1:15" s="145" customFormat="1" x14ac:dyDescent="0.3">
      <c r="A79" s="72" t="s">
        <v>65</v>
      </c>
      <c r="B79" s="382">
        <f>IF($E79="N",0,Base!B75-Option1a!I79)</f>
        <v>0</v>
      </c>
      <c r="C79" s="382">
        <f>IF($E79="N",0,Base!C75-Option1a!J79)</f>
        <v>0</v>
      </c>
      <c r="D79" s="382">
        <f>IF($E79="N",0,Base!D75-Option1a!K79)</f>
        <v>0</v>
      </c>
      <c r="E79" s="136" t="str">
        <f t="shared" ref="E79:E87" si="16">E37</f>
        <v>N</v>
      </c>
      <c r="F79" s="52">
        <f t="shared" ref="F79:F87" si="17">IF(OR(E79="Y",E79="Y1",E79="Y2"),D79*$G$5,0)</f>
        <v>0</v>
      </c>
      <c r="H79" s="72" t="s">
        <v>65</v>
      </c>
      <c r="I79" s="40">
        <v>546.66</v>
      </c>
      <c r="J79" s="40">
        <v>8755.119999999999</v>
      </c>
      <c r="K79" s="40">
        <v>7264.3158399999993</v>
      </c>
      <c r="L79" s="40">
        <f t="shared" si="15"/>
        <v>450024.36628799996</v>
      </c>
    </row>
    <row r="80" spans="1:15" s="145" customFormat="1" x14ac:dyDescent="0.3">
      <c r="A80" s="72" t="s">
        <v>66</v>
      </c>
      <c r="B80" s="382">
        <f>IF($E80="N",0,Base!B76-Option1a!I80)</f>
        <v>0</v>
      </c>
      <c r="C80" s="382">
        <f>IF($E80="N",0,Base!C76-Option1a!J80)</f>
        <v>0</v>
      </c>
      <c r="D80" s="382">
        <f>IF($E80="N",0,Base!D76-Option1a!K80)</f>
        <v>0</v>
      </c>
      <c r="E80" s="136" t="str">
        <f t="shared" si="16"/>
        <v>N</v>
      </c>
      <c r="F80" s="52">
        <f t="shared" si="17"/>
        <v>0</v>
      </c>
      <c r="H80" s="72" t="s">
        <v>66</v>
      </c>
      <c r="I80" s="40">
        <v>566.59</v>
      </c>
      <c r="J80" s="40">
        <v>8861.67</v>
      </c>
      <c r="K80" s="40">
        <v>7328.3541600000008</v>
      </c>
      <c r="L80" s="40">
        <f t="shared" si="15"/>
        <v>453991.54021200008</v>
      </c>
      <c r="N80" s="39"/>
      <c r="O80" s="39"/>
    </row>
    <row r="81" spans="1:15" s="145" customFormat="1" x14ac:dyDescent="0.3">
      <c r="A81" s="72" t="s">
        <v>67</v>
      </c>
      <c r="B81" s="382">
        <f>IF($E81="N",0,Base!B77-Option1a!I81)</f>
        <v>0</v>
      </c>
      <c r="C81" s="382">
        <f>IF($E81="N",0,Base!C77-Option1a!J81)</f>
        <v>0</v>
      </c>
      <c r="D81" s="382">
        <f>IF($E81="N",0,Base!D77-Option1a!K81)</f>
        <v>0</v>
      </c>
      <c r="E81" s="136" t="str">
        <f t="shared" si="16"/>
        <v>N</v>
      </c>
      <c r="F81" s="52">
        <f t="shared" si="17"/>
        <v>0</v>
      </c>
      <c r="H81" s="72" t="s">
        <v>67</v>
      </c>
      <c r="I81" s="40">
        <v>619.20000000000005</v>
      </c>
      <c r="J81" s="40">
        <v>9069.5300000000007</v>
      </c>
      <c r="K81" s="40">
        <v>7469.8436000000002</v>
      </c>
      <c r="L81" s="40">
        <f t="shared" si="15"/>
        <v>462756.81102000002</v>
      </c>
      <c r="N81" s="45"/>
      <c r="O81" s="54"/>
    </row>
    <row r="82" spans="1:15" s="145" customFormat="1" x14ac:dyDescent="0.3">
      <c r="A82" s="72" t="s">
        <v>68</v>
      </c>
      <c r="B82" s="382">
        <f>IF($E82="N",0,Base!B78-Option1a!I82)</f>
        <v>0</v>
      </c>
      <c r="C82" s="382">
        <f>IF($E82="N",0,Base!C78-Option1a!J82)</f>
        <v>0</v>
      </c>
      <c r="D82" s="382">
        <f>IF($E82="N",0,Base!D78-Option1a!K82)</f>
        <v>0</v>
      </c>
      <c r="E82" s="136" t="str">
        <f t="shared" si="16"/>
        <v>N</v>
      </c>
      <c r="F82" s="52">
        <f t="shared" si="17"/>
        <v>0</v>
      </c>
      <c r="H82" s="72" t="s">
        <v>68</v>
      </c>
      <c r="I82" s="40">
        <v>927.68</v>
      </c>
      <c r="J82" s="40">
        <v>9615.9499999999989</v>
      </c>
      <c r="K82" s="40">
        <v>7713.3574399999989</v>
      </c>
      <c r="L82" s="40">
        <f t="shared" si="15"/>
        <v>477842.49340799998</v>
      </c>
      <c r="N82" s="45"/>
      <c r="O82" s="54"/>
    </row>
    <row r="83" spans="1:15" s="145" customFormat="1" x14ac:dyDescent="0.3">
      <c r="A83" s="72" t="s">
        <v>69</v>
      </c>
      <c r="B83" s="382">
        <f>IF($E83="N",0,Base!B79-Option1a!I83)</f>
        <v>0</v>
      </c>
      <c r="C83" s="382">
        <f>IF($E83="N",0,Base!C79-Option1a!J83)</f>
        <v>0</v>
      </c>
      <c r="D83" s="382">
        <f>IF($E83="N",0,Base!D79-Option1a!K83)</f>
        <v>0</v>
      </c>
      <c r="E83" s="136" t="str">
        <f t="shared" si="16"/>
        <v>N</v>
      </c>
      <c r="F83" s="52">
        <f t="shared" si="17"/>
        <v>0</v>
      </c>
      <c r="H83" s="72" t="s">
        <v>69</v>
      </c>
      <c r="I83" s="40">
        <v>981.2600000000001</v>
      </c>
      <c r="J83" s="40">
        <v>10006.35</v>
      </c>
      <c r="K83" s="40">
        <v>7969.5895200000004</v>
      </c>
      <c r="L83" s="40">
        <f t="shared" si="15"/>
        <v>493716.07076400006</v>
      </c>
      <c r="N83" s="39"/>
      <c r="O83" s="39"/>
    </row>
    <row r="84" spans="1:15" s="145" customFormat="1" x14ac:dyDescent="0.3">
      <c r="A84" s="72" t="s">
        <v>70</v>
      </c>
      <c r="B84" s="382">
        <f>IF($E84="N",0,Base!B80-Option1a!I84)</f>
        <v>142.40999999999997</v>
      </c>
      <c r="C84" s="382">
        <f>IF($E84="N",0,Base!C80-Option1a!J84)</f>
        <v>1842.3399999999965</v>
      </c>
      <c r="D84" s="382">
        <f>IF($E84="N",0,Base!D80-Option1a!K84)</f>
        <v>1155.1374399999986</v>
      </c>
      <c r="E84" s="136" t="str">
        <f t="shared" si="16"/>
        <v>Y</v>
      </c>
      <c r="F84" s="52">
        <f t="shared" si="17"/>
        <v>71560.764407999915</v>
      </c>
      <c r="H84" s="72" t="s">
        <v>70</v>
      </c>
      <c r="I84" s="40">
        <v>982.2399999999999</v>
      </c>
      <c r="J84" s="40">
        <v>10256.200000000001</v>
      </c>
      <c r="K84" s="40">
        <v>8065.5887199999997</v>
      </c>
      <c r="L84" s="40">
        <f t="shared" si="15"/>
        <v>499663.221204</v>
      </c>
      <c r="N84" s="39"/>
      <c r="O84" s="39"/>
    </row>
    <row r="85" spans="1:15" s="145" customFormat="1" x14ac:dyDescent="0.3">
      <c r="A85" s="72" t="s">
        <v>71</v>
      </c>
      <c r="B85" s="382">
        <f>IF($E85="N",0,Base!B81-Option1a!I85)</f>
        <v>297.96000000000004</v>
      </c>
      <c r="C85" s="382">
        <f>IF($E85="N",0,Base!C81-Option1a!J85)</f>
        <v>2051.5000000000036</v>
      </c>
      <c r="D85" s="382">
        <f>IF($E85="N",0,Base!D81-Option1a!K85)</f>
        <v>1258.3314400000017</v>
      </c>
      <c r="E85" s="136" t="str">
        <f t="shared" si="16"/>
        <v>Y</v>
      </c>
      <c r="F85" s="52">
        <f t="shared" si="17"/>
        <v>77953.632708000107</v>
      </c>
      <c r="H85" s="72" t="s">
        <v>71</v>
      </c>
      <c r="I85" s="40">
        <v>1005.02</v>
      </c>
      <c r="J85" s="40">
        <v>10670.57</v>
      </c>
      <c r="K85" s="40">
        <v>8233.9923199999994</v>
      </c>
      <c r="L85" s="40">
        <f t="shared" si="15"/>
        <v>510095.82422399998</v>
      </c>
      <c r="N85" s="39"/>
      <c r="O85" s="39"/>
    </row>
    <row r="86" spans="1:15" s="145" customFormat="1" x14ac:dyDescent="0.3">
      <c r="A86" s="72" t="s">
        <v>72</v>
      </c>
      <c r="B86" s="382">
        <f>IF($E86="N",0,Base!B82-Option1a!I86)</f>
        <v>229.51000000000022</v>
      </c>
      <c r="C86" s="382">
        <f>IF($E86="N",0,Base!C82-Option1a!J86)</f>
        <v>2190.029999999997</v>
      </c>
      <c r="D86" s="382">
        <f>IF($E86="N",0,Base!D82-Option1a!K86)</f>
        <v>1348.5868799999989</v>
      </c>
      <c r="E86" s="136" t="str">
        <f t="shared" si="16"/>
        <v>Y</v>
      </c>
      <c r="F86" s="52">
        <f t="shared" si="17"/>
        <v>83544.957215999937</v>
      </c>
      <c r="H86" s="72" t="s">
        <v>72</v>
      </c>
      <c r="I86" s="40">
        <v>980.96</v>
      </c>
      <c r="J86" s="40">
        <v>11127.600000000002</v>
      </c>
      <c r="K86" s="40">
        <v>8447.3875200000002</v>
      </c>
      <c r="L86" s="40">
        <f t="shared" si="15"/>
        <v>523315.65686400002</v>
      </c>
    </row>
    <row r="87" spans="1:15" s="145" customFormat="1" x14ac:dyDescent="0.3">
      <c r="A87" s="72" t="s">
        <v>73</v>
      </c>
      <c r="B87" s="382">
        <f>IF($E87="N",0,Base!B83-Option1a!I87)</f>
        <v>330.26999999999975</v>
      </c>
      <c r="C87" s="382">
        <f>IF($E87="N",0,Base!C83-Option1a!J87)</f>
        <v>2787.2299999999996</v>
      </c>
      <c r="D87" s="382">
        <f>IF($E87="N",0,Base!D83-Option1a!K87)</f>
        <v>1694.6700799999999</v>
      </c>
      <c r="E87" s="136" t="str">
        <f t="shared" si="16"/>
        <v>Y</v>
      </c>
      <c r="F87" s="52">
        <f t="shared" si="17"/>
        <v>104984.811456</v>
      </c>
      <c r="H87" s="72" t="s">
        <v>73</v>
      </c>
      <c r="I87" s="40">
        <v>1073.45</v>
      </c>
      <c r="J87" s="40">
        <v>12153.079999999998</v>
      </c>
      <c r="K87" s="40">
        <v>8808.0413599999993</v>
      </c>
      <c r="L87" s="40">
        <f t="shared" si="15"/>
        <v>545658.16225199995</v>
      </c>
    </row>
    <row r="88" spans="1:15" s="145" customFormat="1" ht="15" thickBot="1" x14ac:dyDescent="0.35">
      <c r="E88" s="60">
        <f>SUM(COUNTIF(E78:E87,{"Y","Y1","Y2"}))</f>
        <v>4</v>
      </c>
      <c r="F88" s="62">
        <f>-PV($G$6,$G$7-E88,F87)</f>
        <v>1015886.3844071052</v>
      </c>
      <c r="G88" s="55" t="s">
        <v>11</v>
      </c>
    </row>
    <row r="89" spans="1:15" s="145" customFormat="1" ht="15" thickTop="1" x14ac:dyDescent="0.3"/>
    <row r="90" spans="1:15" s="145" customFormat="1" ht="15.6" x14ac:dyDescent="0.3">
      <c r="A90" s="409" t="s">
        <v>53</v>
      </c>
      <c r="B90" s="410"/>
      <c r="C90" s="410"/>
      <c r="D90" s="410"/>
      <c r="E90" s="410"/>
      <c r="F90" s="411"/>
      <c r="H90" s="406" t="s">
        <v>63</v>
      </c>
      <c r="I90" s="406"/>
      <c r="J90" s="406"/>
      <c r="K90" s="406"/>
      <c r="L90" s="406"/>
    </row>
    <row r="91" spans="1:15" s="145" customFormat="1" ht="57.6" x14ac:dyDescent="0.3">
      <c r="A91" s="135" t="s">
        <v>5</v>
      </c>
      <c r="B91" s="51" t="s">
        <v>151</v>
      </c>
      <c r="C91" s="51" t="s">
        <v>152</v>
      </c>
      <c r="D91" s="51" t="s">
        <v>153</v>
      </c>
      <c r="E91" s="51" t="s">
        <v>12</v>
      </c>
      <c r="F91" s="51" t="s">
        <v>134</v>
      </c>
      <c r="H91" s="135" t="s">
        <v>5</v>
      </c>
      <c r="I91" s="51" t="s">
        <v>75</v>
      </c>
      <c r="J91" s="51" t="s">
        <v>51</v>
      </c>
      <c r="K91" s="50" t="s">
        <v>0</v>
      </c>
      <c r="L91" s="51" t="s">
        <v>58</v>
      </c>
    </row>
    <row r="92" spans="1:15" s="145" customFormat="1" x14ac:dyDescent="0.3">
      <c r="A92" s="72" t="s">
        <v>64</v>
      </c>
      <c r="B92" s="382">
        <f>IF($E92="N",0,Base!B88-Option1a!I92)</f>
        <v>0</v>
      </c>
      <c r="C92" s="382">
        <f>IF($E92="N",0,Base!C88-Option1a!J92)</f>
        <v>0</v>
      </c>
      <c r="D92" s="382">
        <f>IF($E92="N",0,Base!D88-Option1a!K92)</f>
        <v>0</v>
      </c>
      <c r="E92" s="136" t="str">
        <f>E36</f>
        <v>N</v>
      </c>
      <c r="F92" s="52">
        <f>IF(OR(E92="Y",E92="Y1",E92="Y2"),D92*$G$5,0)</f>
        <v>0</v>
      </c>
      <c r="H92" s="72" t="s">
        <v>64</v>
      </c>
      <c r="I92" s="40">
        <v>552.92999999999995</v>
      </c>
      <c r="J92" s="40">
        <v>8766.4100000000017</v>
      </c>
      <c r="K92" s="40">
        <v>7322.7668000000003</v>
      </c>
      <c r="L92" s="40">
        <f t="shared" ref="L92:L101" si="18">K92*$G$5</f>
        <v>453645.40326000005</v>
      </c>
    </row>
    <row r="93" spans="1:15" s="145" customFormat="1" x14ac:dyDescent="0.3">
      <c r="A93" s="72" t="s">
        <v>65</v>
      </c>
      <c r="B93" s="382">
        <f>IF($E93="N",0,Base!B89-Option1a!I93)</f>
        <v>0</v>
      </c>
      <c r="C93" s="382">
        <f>IF($E93="N",0,Base!C89-Option1a!J93)</f>
        <v>0</v>
      </c>
      <c r="D93" s="382">
        <f>IF($E93="N",0,Base!D89-Option1a!K93)</f>
        <v>0</v>
      </c>
      <c r="E93" s="136" t="str">
        <f t="shared" ref="E93:E101" si="19">E37</f>
        <v>N</v>
      </c>
      <c r="F93" s="52">
        <f t="shared" ref="F93:F101" si="20">IF(OR(E93="Y",E93="Y1",E93="Y2"),D93*$G$5,0)</f>
        <v>0</v>
      </c>
      <c r="H93" s="72" t="s">
        <v>65</v>
      </c>
      <c r="I93" s="40">
        <v>582.74</v>
      </c>
      <c r="J93" s="40">
        <v>8884.880000000001</v>
      </c>
      <c r="K93" s="40">
        <v>7313.8896799999993</v>
      </c>
      <c r="L93" s="40">
        <f t="shared" si="18"/>
        <v>453095.46567599999</v>
      </c>
    </row>
    <row r="94" spans="1:15" s="145" customFormat="1" x14ac:dyDescent="0.3">
      <c r="A94" s="72" t="s">
        <v>66</v>
      </c>
      <c r="B94" s="382">
        <f>IF($E94="N",0,Base!B90-Option1a!I94)</f>
        <v>0</v>
      </c>
      <c r="C94" s="382">
        <f>IF($E94="N",0,Base!C90-Option1a!J94)</f>
        <v>0</v>
      </c>
      <c r="D94" s="382">
        <f>IF($E94="N",0,Base!D90-Option1a!K94)</f>
        <v>0</v>
      </c>
      <c r="E94" s="136" t="str">
        <f t="shared" si="19"/>
        <v>N</v>
      </c>
      <c r="F94" s="52">
        <f t="shared" si="20"/>
        <v>0</v>
      </c>
      <c r="H94" s="72" t="s">
        <v>66</v>
      </c>
      <c r="I94" s="40">
        <v>645.53</v>
      </c>
      <c r="J94" s="40">
        <v>9262.5000000000018</v>
      </c>
      <c r="K94" s="40">
        <v>7541.3546399999996</v>
      </c>
      <c r="L94" s="40">
        <f t="shared" si="18"/>
        <v>467186.919948</v>
      </c>
    </row>
    <row r="95" spans="1:15" s="145" customFormat="1" x14ac:dyDescent="0.3">
      <c r="A95" s="72" t="s">
        <v>67</v>
      </c>
      <c r="B95" s="382">
        <f>IF($E95="N",0,Base!B91-Option1a!I95)</f>
        <v>0</v>
      </c>
      <c r="C95" s="382">
        <f>IF($E95="N",0,Base!C91-Option1a!J95)</f>
        <v>0</v>
      </c>
      <c r="D95" s="382">
        <f>IF($E95="N",0,Base!D91-Option1a!K95)</f>
        <v>0</v>
      </c>
      <c r="E95" s="136" t="str">
        <f t="shared" si="19"/>
        <v>N</v>
      </c>
      <c r="F95" s="52">
        <f t="shared" si="20"/>
        <v>0</v>
      </c>
      <c r="H95" s="72" t="s">
        <v>67</v>
      </c>
      <c r="I95" s="40">
        <v>693.25</v>
      </c>
      <c r="J95" s="40">
        <v>9457.8700000000008</v>
      </c>
      <c r="K95" s="40">
        <v>7582.9712799999998</v>
      </c>
      <c r="L95" s="40">
        <f t="shared" si="18"/>
        <v>469765.07079600001</v>
      </c>
    </row>
    <row r="96" spans="1:15" s="145" customFormat="1" x14ac:dyDescent="0.3">
      <c r="A96" s="72" t="s">
        <v>68</v>
      </c>
      <c r="B96" s="382">
        <f>IF($E96="N",0,Base!B92-Option1a!I96)</f>
        <v>0</v>
      </c>
      <c r="C96" s="382">
        <f>IF($E96="N",0,Base!C92-Option1a!J96)</f>
        <v>0</v>
      </c>
      <c r="D96" s="382">
        <f>IF($E96="N",0,Base!D92-Option1a!K96)</f>
        <v>0</v>
      </c>
      <c r="E96" s="136" t="str">
        <f t="shared" si="19"/>
        <v>N</v>
      </c>
      <c r="F96" s="52">
        <f t="shared" si="20"/>
        <v>0</v>
      </c>
      <c r="H96" s="72" t="s">
        <v>68</v>
      </c>
      <c r="I96" s="40">
        <v>775.63</v>
      </c>
      <c r="J96" s="40">
        <v>9760.9200000000019</v>
      </c>
      <c r="K96" s="40">
        <v>7655.6800800000001</v>
      </c>
      <c r="L96" s="40">
        <f t="shared" si="18"/>
        <v>474269.38095600001</v>
      </c>
    </row>
    <row r="97" spans="1:12" s="145" customFormat="1" x14ac:dyDescent="0.3">
      <c r="A97" s="72" t="s">
        <v>69</v>
      </c>
      <c r="B97" s="382">
        <f>IF($E97="N",0,Base!B93-Option1a!I97)</f>
        <v>0</v>
      </c>
      <c r="C97" s="382">
        <f>IF($E97="N",0,Base!C93-Option1a!J97)</f>
        <v>0</v>
      </c>
      <c r="D97" s="382">
        <f>IF($E97="N",0,Base!D93-Option1a!K97)</f>
        <v>0</v>
      </c>
      <c r="E97" s="136" t="str">
        <f t="shared" si="19"/>
        <v>N</v>
      </c>
      <c r="F97" s="52">
        <f t="shared" si="20"/>
        <v>0</v>
      </c>
      <c r="H97" s="72" t="s">
        <v>69</v>
      </c>
      <c r="I97" s="40">
        <v>874.64</v>
      </c>
      <c r="J97" s="40">
        <v>10430.060000000001</v>
      </c>
      <c r="K97" s="40">
        <v>7974.8921599999994</v>
      </c>
      <c r="L97" s="40">
        <f t="shared" si="18"/>
        <v>494044.56931200001</v>
      </c>
    </row>
    <row r="98" spans="1:12" s="145" customFormat="1" x14ac:dyDescent="0.3">
      <c r="A98" s="72" t="s">
        <v>70</v>
      </c>
      <c r="B98" s="382">
        <f>IF($E98="N",0,Base!B94-Option1a!I98)</f>
        <v>142.12000000000023</v>
      </c>
      <c r="C98" s="382">
        <f>IF($E98="N",0,Base!C94-Option1a!J98)</f>
        <v>715.29999999999927</v>
      </c>
      <c r="D98" s="382">
        <f>IF($E98="N",0,Base!D94-Option1a!K98)</f>
        <v>532.41904000000068</v>
      </c>
      <c r="E98" s="136" t="str">
        <f t="shared" si="19"/>
        <v>Y</v>
      </c>
      <c r="F98" s="52">
        <f t="shared" si="20"/>
        <v>32983.359528000045</v>
      </c>
      <c r="H98" s="72" t="s">
        <v>70</v>
      </c>
      <c r="I98" s="40">
        <v>930.75999999999988</v>
      </c>
      <c r="J98" s="40">
        <v>11565.88</v>
      </c>
      <c r="K98" s="40">
        <v>8470.2459999999992</v>
      </c>
      <c r="L98" s="40">
        <f t="shared" si="18"/>
        <v>524731.73969999992</v>
      </c>
    </row>
    <row r="99" spans="1:12" s="145" customFormat="1" x14ac:dyDescent="0.3">
      <c r="A99" s="72" t="s">
        <v>71</v>
      </c>
      <c r="B99" s="382">
        <f>IF($E99="N",0,Base!B95-Option1a!I99)</f>
        <v>147.1700000000003</v>
      </c>
      <c r="C99" s="382">
        <f>IF($E99="N",0,Base!C95-Option1a!J99)</f>
        <v>811.01000000000022</v>
      </c>
      <c r="D99" s="382">
        <f>IF($E99="N",0,Base!D95-Option1a!K99)</f>
        <v>594.19208000000071</v>
      </c>
      <c r="E99" s="136" t="str">
        <f t="shared" si="19"/>
        <v>Y</v>
      </c>
      <c r="F99" s="52">
        <f t="shared" si="20"/>
        <v>36810.199356000048</v>
      </c>
      <c r="H99" s="72" t="s">
        <v>71</v>
      </c>
      <c r="I99" s="40">
        <v>971.26</v>
      </c>
      <c r="J99" s="40">
        <v>12839.269999999999</v>
      </c>
      <c r="K99" s="40">
        <v>8923.2607999999982</v>
      </c>
      <c r="L99" s="40">
        <f t="shared" si="18"/>
        <v>552796.00655999989</v>
      </c>
    </row>
    <row r="100" spans="1:12" s="145" customFormat="1" x14ac:dyDescent="0.3">
      <c r="A100" s="72" t="s">
        <v>72</v>
      </c>
      <c r="B100" s="382">
        <f>IF($E100="N",0,Base!B96-Option1a!I100)</f>
        <v>96.349999999999795</v>
      </c>
      <c r="C100" s="382">
        <f>IF($E100="N",0,Base!C96-Option1a!J100)</f>
        <v>515.76000000000022</v>
      </c>
      <c r="D100" s="382">
        <f>IF($E100="N",0,Base!D96-Option1a!K100)</f>
        <v>368.38895999999841</v>
      </c>
      <c r="E100" s="136" t="str">
        <f t="shared" si="19"/>
        <v>Y</v>
      </c>
      <c r="F100" s="52">
        <f t="shared" si="20"/>
        <v>22821.696071999901</v>
      </c>
      <c r="H100" s="72" t="s">
        <v>72</v>
      </c>
      <c r="I100" s="40">
        <v>975.34</v>
      </c>
      <c r="J100" s="40">
        <v>14322.460000000001</v>
      </c>
      <c r="K100" s="40">
        <v>9393.2279199999994</v>
      </c>
      <c r="L100" s="40">
        <f t="shared" si="18"/>
        <v>581910.46964399994</v>
      </c>
    </row>
    <row r="101" spans="1:12" s="145" customFormat="1" x14ac:dyDescent="0.3">
      <c r="A101" s="72" t="s">
        <v>73</v>
      </c>
      <c r="B101" s="382">
        <f>IF($E101="N",0,Base!B97-Option1a!I101)</f>
        <v>105.13999999999987</v>
      </c>
      <c r="C101" s="382">
        <f>IF($E101="N",0,Base!C97-Option1a!J101)</f>
        <v>634.56999999999971</v>
      </c>
      <c r="D101" s="382">
        <f>IF($E101="N",0,Base!D97-Option1a!K101)</f>
        <v>418.64296000000104</v>
      </c>
      <c r="E101" s="136" t="str">
        <f t="shared" si="19"/>
        <v>Y</v>
      </c>
      <c r="F101" s="52">
        <f t="shared" si="20"/>
        <v>25934.931372000065</v>
      </c>
      <c r="H101" s="72" t="s">
        <v>73</v>
      </c>
      <c r="I101" s="40">
        <v>1077.58</v>
      </c>
      <c r="J101" s="40">
        <v>16575.32</v>
      </c>
      <c r="K101" s="40">
        <v>10279.394479999999</v>
      </c>
      <c r="L101" s="40">
        <f t="shared" si="18"/>
        <v>636808.48803599994</v>
      </c>
    </row>
    <row r="102" spans="1:12" s="145" customFormat="1" ht="15" thickBot="1" x14ac:dyDescent="0.35">
      <c r="E102" s="60">
        <f>SUM(COUNTIF(E92:E101,{"Y","Y1","Y2"}))</f>
        <v>4</v>
      </c>
      <c r="F102" s="62">
        <f>-PV($G$6,$G$7-E102,F101)</f>
        <v>250959.57497042103</v>
      </c>
      <c r="G102" s="55" t="s">
        <v>11</v>
      </c>
    </row>
    <row r="103" spans="1:12" ht="15" thickTop="1" x14ac:dyDescent="0.3"/>
    <row r="104" spans="1:12" s="357" customFormat="1" x14ac:dyDescent="0.3">
      <c r="A104" s="363" t="s">
        <v>121</v>
      </c>
    </row>
    <row r="105" spans="1:12" s="357" customFormat="1" x14ac:dyDescent="0.3">
      <c r="A105" s="408" t="s">
        <v>5</v>
      </c>
      <c r="B105" s="72" t="s">
        <v>3</v>
      </c>
      <c r="C105" s="344">
        <f>NPV_Summary!$F$35*Option1a!$G$5+Option1a!$G$5</f>
        <v>74.34</v>
      </c>
      <c r="D105" s="26">
        <f>NPV_Summary!$G$35*Option1a!$G$5+Option1a!$G$5</f>
        <v>49.56</v>
      </c>
    </row>
    <row r="106" spans="1:12" ht="43.2" x14ac:dyDescent="0.3">
      <c r="A106" s="408"/>
      <c r="B106" s="51" t="s">
        <v>12</v>
      </c>
      <c r="C106" s="50" t="s">
        <v>25</v>
      </c>
      <c r="D106" s="50" t="s">
        <v>25</v>
      </c>
    </row>
    <row r="107" spans="1:12" x14ac:dyDescent="0.3">
      <c r="A107" s="362" t="s">
        <v>64</v>
      </c>
      <c r="B107" s="3" t="str">
        <f>H17</f>
        <v>N</v>
      </c>
      <c r="C107" s="5">
        <f>IF(OR(B107="Y",B107="Y1",B107="Y2"),D17*$C$105/1000,0)</f>
        <v>0</v>
      </c>
      <c r="D107" s="5">
        <f>IF(OR(B107="Y",B107="Y1",B107="Y2"),D17*$D$105/1000,0)</f>
        <v>0</v>
      </c>
    </row>
    <row r="108" spans="1:12" x14ac:dyDescent="0.3">
      <c r="A108" s="362" t="s">
        <v>65</v>
      </c>
      <c r="B108" s="3" t="str">
        <f t="shared" ref="B108:B116" si="21">H18</f>
        <v>N</v>
      </c>
      <c r="C108" s="5">
        <f t="shared" ref="C108:C116" si="22">IF(OR(B108="Y",B108="Y1",B108="Y2"),D18*$C$105/1000,0)</f>
        <v>0</v>
      </c>
      <c r="D108" s="5">
        <f t="shared" ref="D108:D116" si="23">IF(OR(B108="Y",B108="Y1",B108="Y2"),D18*$D$105/1000,0)</f>
        <v>0</v>
      </c>
    </row>
    <row r="109" spans="1:12" x14ac:dyDescent="0.3">
      <c r="A109" s="362" t="s">
        <v>66</v>
      </c>
      <c r="B109" s="3" t="str">
        <f t="shared" si="21"/>
        <v>N</v>
      </c>
      <c r="C109" s="5">
        <f t="shared" si="22"/>
        <v>0</v>
      </c>
      <c r="D109" s="5">
        <f t="shared" si="23"/>
        <v>0</v>
      </c>
    </row>
    <row r="110" spans="1:12" x14ac:dyDescent="0.3">
      <c r="A110" s="362" t="s">
        <v>67</v>
      </c>
      <c r="B110" s="3" t="str">
        <f t="shared" si="21"/>
        <v>N</v>
      </c>
      <c r="C110" s="5">
        <f t="shared" si="22"/>
        <v>0</v>
      </c>
      <c r="D110" s="5">
        <f t="shared" si="23"/>
        <v>0</v>
      </c>
    </row>
    <row r="111" spans="1:12" x14ac:dyDescent="0.3">
      <c r="A111" s="362" t="s">
        <v>68</v>
      </c>
      <c r="B111" s="3" t="str">
        <f t="shared" si="21"/>
        <v>N</v>
      </c>
      <c r="C111" s="5">
        <f t="shared" si="22"/>
        <v>0</v>
      </c>
      <c r="D111" s="5">
        <f t="shared" si="23"/>
        <v>0</v>
      </c>
    </row>
    <row r="112" spans="1:12" x14ac:dyDescent="0.3">
      <c r="A112" s="362" t="s">
        <v>69</v>
      </c>
      <c r="B112" s="3" t="str">
        <f t="shared" si="21"/>
        <v>N</v>
      </c>
      <c r="C112" s="5">
        <f t="shared" si="22"/>
        <v>0</v>
      </c>
      <c r="D112" s="5">
        <f t="shared" si="23"/>
        <v>0</v>
      </c>
    </row>
    <row r="113" spans="1:5" x14ac:dyDescent="0.3">
      <c r="A113" s="362" t="s">
        <v>70</v>
      </c>
      <c r="B113" s="3" t="str">
        <f t="shared" si="21"/>
        <v>Y</v>
      </c>
      <c r="C113" s="5">
        <f t="shared" si="22"/>
        <v>70.911346423679959</v>
      </c>
      <c r="D113" s="5">
        <f t="shared" si="23"/>
        <v>47.274230949119975</v>
      </c>
    </row>
    <row r="114" spans="1:5" x14ac:dyDescent="0.3">
      <c r="A114" s="362" t="s">
        <v>71</v>
      </c>
      <c r="B114" s="3" t="str">
        <f t="shared" si="21"/>
        <v>Y</v>
      </c>
      <c r="C114" s="5">
        <f t="shared" si="22"/>
        <v>78.897395263680011</v>
      </c>
      <c r="D114" s="5">
        <f t="shared" si="23"/>
        <v>52.598263509120009</v>
      </c>
    </row>
    <row r="115" spans="1:5" x14ac:dyDescent="0.3">
      <c r="A115" s="362" t="s">
        <v>72</v>
      </c>
      <c r="B115" s="3" t="str">
        <f t="shared" si="21"/>
        <v>Y</v>
      </c>
      <c r="C115" s="5">
        <f t="shared" si="22"/>
        <v>73.917911753279952</v>
      </c>
      <c r="D115" s="5">
        <f t="shared" si="23"/>
        <v>49.278607835519971</v>
      </c>
    </row>
    <row r="116" spans="1:5" x14ac:dyDescent="0.3">
      <c r="A116" s="362" t="s">
        <v>73</v>
      </c>
      <c r="B116" s="3" t="str">
        <f t="shared" si="21"/>
        <v>Y</v>
      </c>
      <c r="C116" s="5">
        <f t="shared" si="22"/>
        <v>91.948164073920054</v>
      </c>
      <c r="D116" s="5">
        <f t="shared" si="23"/>
        <v>61.298776049280036</v>
      </c>
    </row>
    <row r="117" spans="1:5" x14ac:dyDescent="0.3">
      <c r="B117" s="39">
        <f>SUM(COUNTIF(B107:B116,{"Y","Y1","Y2"}))</f>
        <v>4</v>
      </c>
      <c r="C117" s="47">
        <f>-PV($G$6,$G$7-B117,C116)</f>
        <v>889.73715967546752</v>
      </c>
      <c r="D117" s="47">
        <f>-PV($G$6,$G$7-B117,D116)</f>
        <v>593.15810645031172</v>
      </c>
      <c r="E117" s="134" t="s">
        <v>11</v>
      </c>
    </row>
    <row r="118" spans="1:5" ht="15" thickBot="1" x14ac:dyDescent="0.35">
      <c r="C118" s="13">
        <f>NPV($G$6,C107:C115,C116+C117)</f>
        <v>483.02554949447938</v>
      </c>
      <c r="D118" s="13">
        <f>NPV($G$6,D107:D115,D116+D117)</f>
        <v>322.01703299631959</v>
      </c>
      <c r="E118" s="134" t="s">
        <v>23</v>
      </c>
    </row>
    <row r="119" spans="1:5" ht="15" thickTop="1" x14ac:dyDescent="0.3"/>
  </sheetData>
  <mergeCells count="12">
    <mergeCell ref="A105:A106"/>
    <mergeCell ref="A15:I15"/>
    <mergeCell ref="A34:F34"/>
    <mergeCell ref="H34:L34"/>
    <mergeCell ref="A48:F48"/>
    <mergeCell ref="H48:L48"/>
    <mergeCell ref="A62:F62"/>
    <mergeCell ref="H62:L62"/>
    <mergeCell ref="A76:F76"/>
    <mergeCell ref="H76:L76"/>
    <mergeCell ref="A90:F90"/>
    <mergeCell ref="H90:L90"/>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zoomScale="55" zoomScaleNormal="55" workbookViewId="0">
      <selection activeCell="K22" sqref="K22"/>
    </sheetView>
  </sheetViews>
  <sheetFormatPr defaultRowHeight="14.4" x14ac:dyDescent="0.3"/>
  <cols>
    <col min="1" max="1" width="38.77734375" style="157" customWidth="1"/>
    <col min="2" max="12" width="15.77734375" style="157" customWidth="1"/>
    <col min="13" max="17" width="10.77734375" style="157" customWidth="1"/>
    <col min="18" max="16384" width="8.88671875" style="157"/>
  </cols>
  <sheetData>
    <row r="1" spans="1:18" x14ac:dyDescent="0.3">
      <c r="A1" s="163" t="s">
        <v>80</v>
      </c>
    </row>
    <row r="2" spans="1:18" x14ac:dyDescent="0.3">
      <c r="A2" s="163" t="s">
        <v>86</v>
      </c>
    </row>
    <row r="3" spans="1:18" x14ac:dyDescent="0.3">
      <c r="A3" s="163" t="s">
        <v>87</v>
      </c>
    </row>
    <row r="4" spans="1:18" x14ac:dyDescent="0.3">
      <c r="A4" s="163" t="s">
        <v>88</v>
      </c>
    </row>
    <row r="5" spans="1:18" x14ac:dyDescent="0.3">
      <c r="A5" s="68" t="s">
        <v>31</v>
      </c>
      <c r="B5" s="69" t="s">
        <v>33</v>
      </c>
      <c r="C5" s="69" t="s">
        <v>34</v>
      </c>
      <c r="D5" s="69" t="s">
        <v>35</v>
      </c>
      <c r="F5" s="65" t="s">
        <v>3</v>
      </c>
      <c r="G5" s="164">
        <v>61.95</v>
      </c>
    </row>
    <row r="6" spans="1:18" x14ac:dyDescent="0.3">
      <c r="A6" s="169" t="s">
        <v>4</v>
      </c>
      <c r="B6" s="170">
        <v>0.6</v>
      </c>
      <c r="C6" s="170">
        <v>77.2</v>
      </c>
      <c r="D6" s="190">
        <v>48.4</v>
      </c>
      <c r="F6" s="66" t="s">
        <v>2</v>
      </c>
      <c r="G6" s="165">
        <v>0.1</v>
      </c>
    </row>
    <row r="7" spans="1:18" x14ac:dyDescent="0.3">
      <c r="A7" s="169" t="s">
        <v>36</v>
      </c>
      <c r="B7" s="171">
        <v>0.02</v>
      </c>
      <c r="C7" s="171">
        <v>0.02</v>
      </c>
      <c r="D7" s="191">
        <v>0.02</v>
      </c>
      <c r="F7" s="66" t="s">
        <v>1</v>
      </c>
      <c r="G7" s="166">
        <v>40</v>
      </c>
    </row>
    <row r="8" spans="1:18" x14ac:dyDescent="0.3">
      <c r="A8" s="169" t="s">
        <v>30</v>
      </c>
      <c r="B8" s="172">
        <f>-PV($G$6,$G$7,B6*B7)</f>
        <v>0.1173486086217384</v>
      </c>
      <c r="C8" s="32">
        <f>-PV($G$6,$G$7,C6*C7)</f>
        <v>15.09885430933034</v>
      </c>
      <c r="D8" s="32">
        <f>-PV($G$6,$G$7,D6*D7)</f>
        <v>9.4661210954868977</v>
      </c>
      <c r="F8" s="66" t="s">
        <v>6</v>
      </c>
      <c r="G8" s="165">
        <v>0.2</v>
      </c>
    </row>
    <row r="9" spans="1:18" x14ac:dyDescent="0.3">
      <c r="A9" s="169" t="s">
        <v>32</v>
      </c>
      <c r="B9" s="172">
        <f>B6+B8</f>
        <v>0.71734860862173844</v>
      </c>
      <c r="C9" s="32">
        <f>C6+C8</f>
        <v>92.298854309330338</v>
      </c>
      <c r="D9" s="32">
        <f>D6+D8</f>
        <v>57.866121095486896</v>
      </c>
      <c r="F9" s="66" t="s">
        <v>7</v>
      </c>
      <c r="G9" s="165">
        <v>0.2</v>
      </c>
    </row>
    <row r="10" spans="1:18" x14ac:dyDescent="0.3">
      <c r="A10" s="169" t="s">
        <v>15</v>
      </c>
      <c r="B10" s="172">
        <f>-PMT($G$6,$G$7,B9)</f>
        <v>7.3355648648621694E-2</v>
      </c>
      <c r="C10" s="32">
        <f>-PMT($G$6,$G$7,C9)</f>
        <v>9.4384267927893255</v>
      </c>
      <c r="D10" s="32">
        <f>-PMT($G$6,$G$7,D9)</f>
        <v>5.9173556576554835</v>
      </c>
      <c r="F10" s="66" t="s">
        <v>8</v>
      </c>
      <c r="G10" s="165">
        <v>0.2</v>
      </c>
    </row>
    <row r="11" spans="1:18" x14ac:dyDescent="0.3">
      <c r="B11" s="168"/>
      <c r="C11" s="168"/>
      <c r="D11" s="168"/>
      <c r="F11" s="66" t="s">
        <v>9</v>
      </c>
      <c r="G11" s="165">
        <v>0.2</v>
      </c>
    </row>
    <row r="12" spans="1:18" x14ac:dyDescent="0.3">
      <c r="A12" s="161" t="s">
        <v>28</v>
      </c>
      <c r="B12" s="173">
        <f>SUM(B9:D9)</f>
        <v>150.88232401343896</v>
      </c>
      <c r="C12" s="168"/>
      <c r="D12" s="168"/>
      <c r="F12" s="67" t="s">
        <v>10</v>
      </c>
      <c r="G12" s="167">
        <v>0.2</v>
      </c>
    </row>
    <row r="13" spans="1:18" x14ac:dyDescent="0.3">
      <c r="A13" s="162" t="s">
        <v>29</v>
      </c>
      <c r="B13" s="174">
        <f>-PMT($G$6,$G$7,B12)</f>
        <v>15.429138099093429</v>
      </c>
      <c r="C13" s="168"/>
      <c r="D13" s="168"/>
    </row>
    <row r="15" spans="1:18" ht="15.6" x14ac:dyDescent="0.3">
      <c r="A15" s="397" t="s">
        <v>57</v>
      </c>
      <c r="B15" s="397"/>
      <c r="C15" s="397"/>
      <c r="D15" s="397"/>
      <c r="E15" s="397"/>
      <c r="F15" s="397"/>
      <c r="G15" s="397"/>
      <c r="H15" s="397"/>
      <c r="I15" s="397"/>
      <c r="M15" s="380"/>
      <c r="N15" s="380"/>
      <c r="O15" s="380"/>
      <c r="P15" s="380"/>
      <c r="Q15" s="380"/>
      <c r="R15" s="175"/>
    </row>
    <row r="16" spans="1:18" s="168" customFormat="1" ht="69.599999999999994" customHeight="1" x14ac:dyDescent="0.3">
      <c r="A16" s="40" t="s">
        <v>5</v>
      </c>
      <c r="B16" s="51" t="s">
        <v>151</v>
      </c>
      <c r="C16" s="51" t="s">
        <v>152</v>
      </c>
      <c r="D16" s="51" t="s">
        <v>153</v>
      </c>
      <c r="E16" s="50" t="s">
        <v>25</v>
      </c>
      <c r="F16" s="50" t="s">
        <v>15</v>
      </c>
      <c r="G16" s="51" t="s">
        <v>155</v>
      </c>
      <c r="H16" s="50" t="s">
        <v>12</v>
      </c>
      <c r="I16" s="50" t="s">
        <v>24</v>
      </c>
      <c r="J16" s="35"/>
      <c r="K16" s="35"/>
      <c r="M16" s="36"/>
      <c r="N16" s="37"/>
      <c r="O16" s="37"/>
      <c r="P16" s="37"/>
      <c r="Q16" s="38"/>
      <c r="R16" s="39"/>
    </row>
    <row r="17" spans="1:18" s="168" customFormat="1" x14ac:dyDescent="0.3">
      <c r="A17" s="72" t="s">
        <v>64</v>
      </c>
      <c r="B17" s="40">
        <f>MAX(B36,B50,B64,B78,B92)</f>
        <v>0</v>
      </c>
      <c r="C17" s="40">
        <f>MAX(C36,C50,C64,C78,C92)</f>
        <v>0</v>
      </c>
      <c r="D17" s="40">
        <f t="shared" ref="D17:D26" si="0">$G$8*D36+$G$9*D50+$G$10*D64+$G$11*D78+$G$12*D92</f>
        <v>0</v>
      </c>
      <c r="E17" s="41">
        <f t="shared" ref="E17:E26" si="1">D17*$G$5/1000</f>
        <v>0</v>
      </c>
      <c r="F17" s="41">
        <f>IF($H17="Y1",$B$10,IF($H17="Y2",$B$10+$C$10,IF($H17="Y",$B$13,IF($H17="N",0))))</f>
        <v>0</v>
      </c>
      <c r="G17" s="41">
        <f>E17-F17</f>
        <v>0</v>
      </c>
      <c r="H17" s="42" t="s">
        <v>14</v>
      </c>
      <c r="I17" s="41">
        <f>IF(OR(H17="Y",H17="Y1",H17="Y2"),E17,0)</f>
        <v>0</v>
      </c>
      <c r="J17" s="43"/>
      <c r="K17" s="43"/>
      <c r="M17" s="44"/>
      <c r="N17" s="45"/>
      <c r="O17" s="45"/>
      <c r="P17" s="45"/>
      <c r="Q17" s="33"/>
      <c r="R17" s="39"/>
    </row>
    <row r="18" spans="1:18" s="168" customFormat="1" x14ac:dyDescent="0.3">
      <c r="A18" s="72" t="s">
        <v>65</v>
      </c>
      <c r="B18" s="40">
        <f t="shared" ref="B18:C26" si="2">MAX(B37,B51,B65,B79,B93)</f>
        <v>0</v>
      </c>
      <c r="C18" s="40">
        <f t="shared" si="2"/>
        <v>0</v>
      </c>
      <c r="D18" s="40">
        <f t="shared" si="0"/>
        <v>0</v>
      </c>
      <c r="E18" s="41">
        <f t="shared" si="1"/>
        <v>0</v>
      </c>
      <c r="F18" s="41">
        <f t="shared" ref="F18:F26" si="3">IF($H18="Y1",$B$10,IF($H18="Y2",$B$10+$C$10,IF($H18="Y",$B$13,IF($H18="N",0))))</f>
        <v>0</v>
      </c>
      <c r="G18" s="41">
        <f t="shared" ref="G18:G26" si="4">E18-F18</f>
        <v>0</v>
      </c>
      <c r="H18" s="42" t="s">
        <v>14</v>
      </c>
      <c r="I18" s="41">
        <f t="shared" ref="I18:I26" si="5">IF(OR(H18="Y",H18="Y1",H18="Y2"),E18,0)</f>
        <v>0</v>
      </c>
      <c r="J18" s="43"/>
      <c r="K18" s="43"/>
      <c r="M18" s="44"/>
      <c r="N18" s="45"/>
      <c r="O18" s="45"/>
      <c r="P18" s="45"/>
      <c r="Q18" s="33"/>
      <c r="R18" s="39"/>
    </row>
    <row r="19" spans="1:18" s="168" customFormat="1" x14ac:dyDescent="0.3">
      <c r="A19" s="72" t="s">
        <v>66</v>
      </c>
      <c r="B19" s="40">
        <f t="shared" si="2"/>
        <v>43.5</v>
      </c>
      <c r="C19" s="40">
        <f t="shared" si="2"/>
        <v>235.40999999999985</v>
      </c>
      <c r="D19" s="40">
        <f t="shared" si="0"/>
        <v>107.95287999999982</v>
      </c>
      <c r="E19" s="41">
        <f t="shared" si="1"/>
        <v>6.687680915999989</v>
      </c>
      <c r="F19" s="41">
        <f t="shared" si="3"/>
        <v>7.3355648648621694E-2</v>
      </c>
      <c r="G19" s="41">
        <f t="shared" si="4"/>
        <v>6.6143252673513677</v>
      </c>
      <c r="H19" s="42" t="s">
        <v>49</v>
      </c>
      <c r="I19" s="41">
        <f t="shared" si="5"/>
        <v>6.687680915999989</v>
      </c>
      <c r="J19" s="43"/>
      <c r="K19" s="43"/>
      <c r="M19" s="44"/>
      <c r="N19" s="45"/>
      <c r="O19" s="45"/>
      <c r="P19" s="45"/>
      <c r="Q19" s="33"/>
      <c r="R19" s="39"/>
    </row>
    <row r="20" spans="1:18" s="168" customFormat="1" x14ac:dyDescent="0.3">
      <c r="A20" s="72" t="s">
        <v>67</v>
      </c>
      <c r="B20" s="40">
        <f t="shared" si="2"/>
        <v>40.400000000000091</v>
      </c>
      <c r="C20" s="40">
        <f t="shared" si="2"/>
        <v>276.59000000000015</v>
      </c>
      <c r="D20" s="40">
        <f t="shared" si="0"/>
        <v>156.99766400000044</v>
      </c>
      <c r="E20" s="41">
        <f t="shared" si="1"/>
        <v>9.726005284800026</v>
      </c>
      <c r="F20" s="41">
        <f t="shared" si="3"/>
        <v>7.3355648648621694E-2</v>
      </c>
      <c r="G20" s="41">
        <f t="shared" si="4"/>
        <v>9.6526496361514038</v>
      </c>
      <c r="H20" s="42" t="s">
        <v>49</v>
      </c>
      <c r="I20" s="41">
        <f t="shared" si="5"/>
        <v>9.726005284800026</v>
      </c>
      <c r="J20" s="43"/>
      <c r="K20" s="43"/>
      <c r="M20" s="44"/>
      <c r="N20" s="45"/>
      <c r="O20" s="45"/>
      <c r="P20" s="45"/>
      <c r="Q20" s="33"/>
      <c r="R20" s="39"/>
    </row>
    <row r="21" spans="1:18" s="168" customFormat="1" x14ac:dyDescent="0.3">
      <c r="A21" s="72" t="s">
        <v>68</v>
      </c>
      <c r="B21" s="40">
        <f t="shared" si="2"/>
        <v>47.239999999999895</v>
      </c>
      <c r="C21" s="40">
        <f t="shared" si="2"/>
        <v>268.98999999999978</v>
      </c>
      <c r="D21" s="40">
        <f t="shared" si="0"/>
        <v>182.72030399999932</v>
      </c>
      <c r="E21" s="41">
        <f t="shared" si="1"/>
        <v>11.319522832799958</v>
      </c>
      <c r="F21" s="41">
        <f t="shared" si="3"/>
        <v>7.3355648648621694E-2</v>
      </c>
      <c r="G21" s="41">
        <f t="shared" si="4"/>
        <v>11.246167184151336</v>
      </c>
      <c r="H21" s="42" t="s">
        <v>49</v>
      </c>
      <c r="I21" s="41">
        <f t="shared" si="5"/>
        <v>11.319522832799958</v>
      </c>
      <c r="J21" s="43"/>
      <c r="K21" s="43"/>
      <c r="M21" s="44"/>
      <c r="N21" s="45"/>
      <c r="O21" s="45"/>
      <c r="P21" s="45"/>
      <c r="Q21" s="33"/>
      <c r="R21" s="39"/>
    </row>
    <row r="22" spans="1:18" s="168" customFormat="1" x14ac:dyDescent="0.3">
      <c r="A22" s="72" t="s">
        <v>69</v>
      </c>
      <c r="B22" s="40">
        <f t="shared" si="2"/>
        <v>40.6400000000001</v>
      </c>
      <c r="C22" s="40">
        <f t="shared" si="2"/>
        <v>289.88999999999942</v>
      </c>
      <c r="D22" s="40">
        <f t="shared" si="0"/>
        <v>236.69271999999967</v>
      </c>
      <c r="E22" s="41">
        <f t="shared" si="1"/>
        <v>14.663114003999981</v>
      </c>
      <c r="F22" s="41">
        <f t="shared" si="3"/>
        <v>7.3355648648621694E-2</v>
      </c>
      <c r="G22" s="41">
        <f t="shared" si="4"/>
        <v>14.589758355351359</v>
      </c>
      <c r="H22" s="42" t="s">
        <v>49</v>
      </c>
      <c r="I22" s="41">
        <f t="shared" si="5"/>
        <v>14.663114003999981</v>
      </c>
      <c r="J22" s="43"/>
      <c r="K22" s="43"/>
      <c r="M22" s="44"/>
      <c r="N22" s="45"/>
      <c r="O22" s="45"/>
      <c r="P22" s="45"/>
      <c r="Q22" s="33"/>
      <c r="R22" s="39"/>
    </row>
    <row r="23" spans="1:18" s="168" customFormat="1" x14ac:dyDescent="0.3">
      <c r="A23" s="72" t="s">
        <v>70</v>
      </c>
      <c r="B23" s="40">
        <f t="shared" si="2"/>
        <v>284.59000000000026</v>
      </c>
      <c r="C23" s="40">
        <f t="shared" si="2"/>
        <v>2335.7599999999966</v>
      </c>
      <c r="D23" s="40">
        <f t="shared" si="0"/>
        <v>951.65531199999941</v>
      </c>
      <c r="E23" s="41">
        <f t="shared" si="1"/>
        <v>58.955046578399966</v>
      </c>
      <c r="F23" s="41">
        <f t="shared" si="3"/>
        <v>15.429138099093429</v>
      </c>
      <c r="G23" s="41">
        <f t="shared" si="4"/>
        <v>43.525908479306537</v>
      </c>
      <c r="H23" s="46" t="s">
        <v>13</v>
      </c>
      <c r="I23" s="41">
        <f t="shared" si="5"/>
        <v>58.955046578399966</v>
      </c>
      <c r="J23" s="43"/>
      <c r="K23" s="43"/>
      <c r="M23" s="44"/>
      <c r="N23" s="45"/>
      <c r="O23" s="45"/>
      <c r="P23" s="45"/>
      <c r="Q23" s="33"/>
      <c r="R23" s="39"/>
    </row>
    <row r="24" spans="1:18" s="168" customFormat="1" x14ac:dyDescent="0.3">
      <c r="A24" s="72" t="s">
        <v>71</v>
      </c>
      <c r="B24" s="40">
        <f t="shared" si="2"/>
        <v>297.95000000000005</v>
      </c>
      <c r="C24" s="40">
        <f t="shared" si="2"/>
        <v>2982.3299999999981</v>
      </c>
      <c r="D24" s="40">
        <f t="shared" si="0"/>
        <v>1061.8469440000001</v>
      </c>
      <c r="E24" s="41">
        <f t="shared" si="1"/>
        <v>65.781418180800017</v>
      </c>
      <c r="F24" s="41">
        <f t="shared" si="3"/>
        <v>15.429138099093429</v>
      </c>
      <c r="G24" s="41">
        <f t="shared" si="4"/>
        <v>50.352280081706589</v>
      </c>
      <c r="H24" s="46" t="s">
        <v>13</v>
      </c>
      <c r="I24" s="41">
        <f t="shared" si="5"/>
        <v>65.781418180800017</v>
      </c>
      <c r="J24" s="43"/>
      <c r="K24" s="43"/>
      <c r="M24" s="44"/>
      <c r="N24" s="45"/>
      <c r="O24" s="45"/>
      <c r="P24" s="45"/>
      <c r="Q24" s="33"/>
      <c r="R24" s="39"/>
    </row>
    <row r="25" spans="1:18" s="168" customFormat="1" x14ac:dyDescent="0.3">
      <c r="A25" s="72" t="s">
        <v>72</v>
      </c>
      <c r="B25" s="40">
        <f t="shared" si="2"/>
        <v>284.93000000000006</v>
      </c>
      <c r="C25" s="40">
        <f t="shared" si="2"/>
        <v>3436.2000000000044</v>
      </c>
      <c r="D25" s="40">
        <f t="shared" si="0"/>
        <v>993.61988799999983</v>
      </c>
      <c r="E25" s="41">
        <f t="shared" si="1"/>
        <v>61.554752061599991</v>
      </c>
      <c r="F25" s="41">
        <f t="shared" si="3"/>
        <v>15.429138099093429</v>
      </c>
      <c r="G25" s="41">
        <f t="shared" si="4"/>
        <v>46.125613962506563</v>
      </c>
      <c r="H25" s="46" t="s">
        <v>13</v>
      </c>
      <c r="I25" s="41">
        <f t="shared" si="5"/>
        <v>61.554752061599991</v>
      </c>
      <c r="J25" s="43"/>
      <c r="K25" s="43"/>
      <c r="M25" s="44"/>
      <c r="N25" s="45"/>
      <c r="O25" s="45"/>
      <c r="P25" s="45"/>
      <c r="Q25" s="33"/>
      <c r="R25" s="39"/>
    </row>
    <row r="26" spans="1:18" s="168" customFormat="1" x14ac:dyDescent="0.3">
      <c r="A26" s="72" t="s">
        <v>73</v>
      </c>
      <c r="B26" s="40">
        <f t="shared" si="2"/>
        <v>330.26999999999975</v>
      </c>
      <c r="C26" s="40">
        <f t="shared" si="2"/>
        <v>4820.7900000000081</v>
      </c>
      <c r="D26" s="40">
        <f t="shared" si="0"/>
        <v>1236.985632000001</v>
      </c>
      <c r="E26" s="41">
        <f t="shared" si="1"/>
        <v>76.63125990240006</v>
      </c>
      <c r="F26" s="41">
        <f t="shared" si="3"/>
        <v>15.429138099093429</v>
      </c>
      <c r="G26" s="41">
        <f t="shared" si="4"/>
        <v>61.202121803306632</v>
      </c>
      <c r="H26" s="46" t="s">
        <v>13</v>
      </c>
      <c r="I26" s="41">
        <f t="shared" si="5"/>
        <v>76.63125990240006</v>
      </c>
      <c r="J26" s="43"/>
      <c r="K26" s="43"/>
      <c r="M26" s="44"/>
      <c r="N26" s="45"/>
      <c r="O26" s="45"/>
      <c r="P26" s="45"/>
      <c r="Q26" s="33"/>
      <c r="R26" s="39"/>
    </row>
    <row r="27" spans="1:18" s="168" customFormat="1" x14ac:dyDescent="0.3">
      <c r="G27" s="57"/>
      <c r="H27" s="39">
        <f>SUM(COUNTIF(H17:H26,{"Y","Y1","Y2"}))</f>
        <v>8</v>
      </c>
      <c r="I27" s="47">
        <f>-PV($G$6,$G$7-H27,I26)</f>
        <v>730.01816396075799</v>
      </c>
      <c r="J27" s="56" t="s">
        <v>11</v>
      </c>
      <c r="K27" s="47"/>
      <c r="L27" s="39"/>
      <c r="M27" s="39"/>
      <c r="Q27" s="45"/>
    </row>
    <row r="28" spans="1:18" s="351" customFormat="1" ht="15" thickBot="1" x14ac:dyDescent="0.35">
      <c r="G28" s="57"/>
      <c r="H28" s="39"/>
      <c r="I28" s="61">
        <f>NPV($G$6,I17:I25,I26+I27)</f>
        <v>425.01729868062586</v>
      </c>
      <c r="J28" s="56" t="s">
        <v>23</v>
      </c>
      <c r="K28" s="47"/>
      <c r="L28" s="39"/>
      <c r="M28" s="39"/>
      <c r="Q28" s="45"/>
    </row>
    <row r="29" spans="1:18" s="168" customFormat="1" ht="15" thickTop="1" x14ac:dyDescent="0.3">
      <c r="I29" s="47"/>
      <c r="J29" s="39"/>
      <c r="K29" s="47"/>
      <c r="L29" s="39"/>
      <c r="M29" s="39"/>
    </row>
    <row r="30" spans="1:18" s="168" customFormat="1" ht="43.2" x14ac:dyDescent="0.3">
      <c r="A30" s="34"/>
      <c r="B30" s="63" t="s">
        <v>16</v>
      </c>
      <c r="C30" s="63" t="s">
        <v>17</v>
      </c>
      <c r="D30" s="63" t="s">
        <v>18</v>
      </c>
      <c r="E30" s="63" t="s">
        <v>19</v>
      </c>
      <c r="F30" s="63" t="s">
        <v>20</v>
      </c>
      <c r="G30" s="63" t="s">
        <v>21</v>
      </c>
      <c r="H30" s="64" t="s">
        <v>28</v>
      </c>
      <c r="I30" s="64" t="s">
        <v>37</v>
      </c>
      <c r="K30" s="39"/>
      <c r="L30" s="39"/>
      <c r="M30" s="39"/>
    </row>
    <row r="31" spans="1:18" s="168" customFormat="1" x14ac:dyDescent="0.3">
      <c r="A31" s="160" t="s">
        <v>22</v>
      </c>
      <c r="B31" s="48">
        <f>NPV($G$6,F36:F44,F45+F46)/1000</f>
        <v>314.56807842977702</v>
      </c>
      <c r="C31" s="48">
        <f>NPV($G$6,F50:F58,F59+F60)/1000</f>
        <v>809.58556634995114</v>
      </c>
      <c r="D31" s="48">
        <f>NPV($G$6,F64:F72,F73+F74)/1000</f>
        <v>255.95406828753983</v>
      </c>
      <c r="E31" s="48">
        <f>NPV($G$6,F78:F86,F87+F88)/1000</f>
        <v>556.72457134732258</v>
      </c>
      <c r="F31" s="48">
        <f>NPV($G$6,F92:F100,F101+F102)/1000</f>
        <v>188.25420898853901</v>
      </c>
      <c r="G31" s="49">
        <f>B31*G8+C31*G9+D31*G10+E31*G11+F31*G12</f>
        <v>425.01729868062597</v>
      </c>
      <c r="H31" s="172">
        <f>B12</f>
        <v>150.88232401343896</v>
      </c>
      <c r="I31" s="48">
        <f>G31-H31</f>
        <v>274.13497466718701</v>
      </c>
    </row>
    <row r="32" spans="1:18" s="168" customFormat="1" x14ac:dyDescent="0.3">
      <c r="I32" s="176"/>
    </row>
    <row r="33" spans="1:14" s="168" customFormat="1" x14ac:dyDescent="0.3"/>
    <row r="34" spans="1:14" s="168" customFormat="1" ht="15.6" x14ac:dyDescent="0.3">
      <c r="A34" s="409" t="s">
        <v>52</v>
      </c>
      <c r="B34" s="410"/>
      <c r="C34" s="410"/>
      <c r="D34" s="410"/>
      <c r="E34" s="410"/>
      <c r="F34" s="411"/>
      <c r="H34" s="406" t="s">
        <v>59</v>
      </c>
      <c r="I34" s="406"/>
      <c r="J34" s="406"/>
      <c r="K34" s="406"/>
      <c r="L34" s="406"/>
    </row>
    <row r="35" spans="1:14" s="168" customFormat="1" ht="57.6" x14ac:dyDescent="0.3">
      <c r="A35" s="158" t="s">
        <v>5</v>
      </c>
      <c r="B35" s="51" t="s">
        <v>151</v>
      </c>
      <c r="C35" s="51" t="s">
        <v>152</v>
      </c>
      <c r="D35" s="51" t="s">
        <v>153</v>
      </c>
      <c r="E35" s="51" t="s">
        <v>12</v>
      </c>
      <c r="F35" s="51" t="s">
        <v>134</v>
      </c>
      <c r="H35" s="158" t="s">
        <v>5</v>
      </c>
      <c r="I35" s="51" t="s">
        <v>75</v>
      </c>
      <c r="J35" s="51" t="s">
        <v>51</v>
      </c>
      <c r="K35" s="50" t="s">
        <v>0</v>
      </c>
      <c r="L35" s="51" t="s">
        <v>58</v>
      </c>
    </row>
    <row r="36" spans="1:14" s="168" customFormat="1" x14ac:dyDescent="0.3">
      <c r="A36" s="72" t="s">
        <v>64</v>
      </c>
      <c r="B36" s="40">
        <f>IF($E36="Y1",'WindMonitoring_BATS-BETS'!B35,IF($E36="Y",Base!B32-Option1b!I36,IF($E36="N",0)))</f>
        <v>0</v>
      </c>
      <c r="C36" s="385">
        <f>IF($E36="Y1",'WindMonitoring_BATS-BETS'!C35,IF($E36="Y",Base!C32-Option1b!J36,IF($E36="N",0)))</f>
        <v>0</v>
      </c>
      <c r="D36" s="385">
        <f>IF($E36="Y1",'WindMonitoring_BATS-BETS'!D35,IF($E36="Y",Base!D32-Option1b!K36,IF($E36="N",0)))</f>
        <v>0</v>
      </c>
      <c r="E36" s="159" t="str">
        <f t="shared" ref="E36:E45" si="6">H17</f>
        <v>N</v>
      </c>
      <c r="F36" s="52">
        <f>IF(OR(E36="Y",E36="Y1",E36="Y2"),D36*$G$5,0)</f>
        <v>0</v>
      </c>
      <c r="H36" s="72" t="s">
        <v>64</v>
      </c>
      <c r="I36" s="40">
        <v>552.92999999999995</v>
      </c>
      <c r="J36" s="40">
        <v>8766.4100000000017</v>
      </c>
      <c r="K36" s="40">
        <v>7323.46976</v>
      </c>
      <c r="L36" s="40">
        <f t="shared" ref="L36:L45" si="7">K36*$G$5</f>
        <v>453688.95163200004</v>
      </c>
      <c r="N36" s="53"/>
    </row>
    <row r="37" spans="1:14" s="168" customFormat="1" x14ac:dyDescent="0.3">
      <c r="A37" s="72" t="s">
        <v>65</v>
      </c>
      <c r="B37" s="385">
        <f>IF($E37="Y1",'WindMonitoring_BATS-BETS'!B36,IF($E37="Y",Base!B33-Option1b!I37,IF($E37="N",0)))</f>
        <v>0</v>
      </c>
      <c r="C37" s="385">
        <f>IF($E37="Y1",'WindMonitoring_BATS-BETS'!C36,IF($E37="Y",Base!C33-Option1b!J37,IF($E37="N",0)))</f>
        <v>0</v>
      </c>
      <c r="D37" s="385">
        <f>IF($E37="Y1",'WindMonitoring_BATS-BETS'!D36,IF($E37="Y",Base!D33-Option1b!K37,IF($E37="N",0)))</f>
        <v>0</v>
      </c>
      <c r="E37" s="159" t="str">
        <f t="shared" si="6"/>
        <v>N</v>
      </c>
      <c r="F37" s="52">
        <f>IF(OR(E37="Y",E37="Y1",E37="Y2"),D37*$G$5,0)</f>
        <v>0</v>
      </c>
      <c r="H37" s="72" t="s">
        <v>65</v>
      </c>
      <c r="I37" s="40">
        <v>596.9</v>
      </c>
      <c r="J37" s="40">
        <v>8928.76</v>
      </c>
      <c r="K37" s="40">
        <v>7327.2291999999998</v>
      </c>
      <c r="L37" s="40">
        <f t="shared" si="7"/>
        <v>453921.84894</v>
      </c>
    </row>
    <row r="38" spans="1:14" s="168" customFormat="1" x14ac:dyDescent="0.3">
      <c r="A38" s="72" t="s">
        <v>66</v>
      </c>
      <c r="B38" s="350">
        <f>IF($E38="Y1",'WindMonitoring_BATS-BETS'!B37,IF($E38="Y",Base!B34-Option1b!I38,IF($E38="N",0)))</f>
        <v>41.490000000000009</v>
      </c>
      <c r="C38" s="350">
        <f>IF($E38="Y1",'WindMonitoring_BATS-BETS'!C37,IF($E38="Y",Base!C34-Option1b!J38,IF($E38="N",0)))</f>
        <v>156.84999999999854</v>
      </c>
      <c r="D38" s="350">
        <f>IF($E38="Y1",'WindMonitoring_BATS-BETS'!D37,IF($E38="Y",Base!D34-Option1b!K38,IF($E38="N",0)))</f>
        <v>121.98735999999826</v>
      </c>
      <c r="E38" s="159" t="str">
        <f t="shared" si="6"/>
        <v>Y1</v>
      </c>
      <c r="F38" s="52">
        <f t="shared" ref="F38:F45" si="8">IF(OR(E38="Y",E38="Y1",E38="Y2"),D38*$G$5,0)</f>
        <v>7557.116951999893</v>
      </c>
      <c r="H38" s="72" t="s">
        <v>66</v>
      </c>
      <c r="I38" s="40">
        <v>662.25</v>
      </c>
      <c r="J38" s="40">
        <v>9318.880000000001</v>
      </c>
      <c r="K38" s="40">
        <v>7557.8120799999997</v>
      </c>
      <c r="L38" s="40">
        <f t="shared" si="7"/>
        <v>468206.45835600002</v>
      </c>
    </row>
    <row r="39" spans="1:14" s="168" customFormat="1" x14ac:dyDescent="0.3">
      <c r="A39" s="72" t="s">
        <v>67</v>
      </c>
      <c r="B39" s="350">
        <f>IF($E39="Y1",'WindMonitoring_BATS-BETS'!B38,IF($E39="Y",Base!B35-Option1b!I39,IF($E39="N",0)))</f>
        <v>30.360000000000014</v>
      </c>
      <c r="C39" s="350">
        <f>IF($E39="Y1",'WindMonitoring_BATS-BETS'!C38,IF($E39="Y",Base!C35-Option1b!J39,IF($E39="N",0)))</f>
        <v>140.79000000000087</v>
      </c>
      <c r="D39" s="350">
        <f>IF($E39="Y1",'WindMonitoring_BATS-BETS'!D38,IF($E39="Y",Base!D35-Option1b!K39,IF($E39="N",0)))</f>
        <v>147.13752000000022</v>
      </c>
      <c r="E39" s="159" t="str">
        <f t="shared" si="6"/>
        <v>Y1</v>
      </c>
      <c r="F39" s="52">
        <f t="shared" si="8"/>
        <v>9115.169364000014</v>
      </c>
      <c r="H39" s="72" t="s">
        <v>67</v>
      </c>
      <c r="I39" s="40">
        <v>700.99</v>
      </c>
      <c r="J39" s="40">
        <v>9468.14</v>
      </c>
      <c r="K39" s="40">
        <v>7578.4651999999996</v>
      </c>
      <c r="L39" s="40">
        <f t="shared" si="7"/>
        <v>469485.91914000001</v>
      </c>
    </row>
    <row r="40" spans="1:14" s="168" customFormat="1" x14ac:dyDescent="0.3">
      <c r="A40" s="72" t="s">
        <v>68</v>
      </c>
      <c r="B40" s="350">
        <f>IF($E40="Y1",'WindMonitoring_BATS-BETS'!B39,IF($E40="Y",Base!B36-Option1b!I40,IF($E40="N",0)))</f>
        <v>30.529999999999973</v>
      </c>
      <c r="C40" s="350">
        <f>IF($E40="Y1",'WindMonitoring_BATS-BETS'!C39,IF($E40="Y",Base!C36-Option1b!J40,IF($E40="N",0)))</f>
        <v>154.72999999999956</v>
      </c>
      <c r="D40" s="350">
        <f>IF($E40="Y1",'WindMonitoring_BATS-BETS'!D39,IF($E40="Y",Base!D36-Option1b!K40,IF($E40="N",0)))</f>
        <v>160.91743999999926</v>
      </c>
      <c r="E40" s="159" t="str">
        <f t="shared" si="6"/>
        <v>Y1</v>
      </c>
      <c r="F40" s="52">
        <f t="shared" si="8"/>
        <v>9968.8354079999554</v>
      </c>
      <c r="H40" s="72" t="s">
        <v>68</v>
      </c>
      <c r="I40" s="40">
        <v>798.57</v>
      </c>
      <c r="J40" s="40">
        <v>9831.61</v>
      </c>
      <c r="K40" s="40">
        <v>7703.6108799999993</v>
      </c>
      <c r="L40" s="40">
        <f t="shared" si="7"/>
        <v>477238.69401599996</v>
      </c>
    </row>
    <row r="41" spans="1:14" s="168" customFormat="1" x14ac:dyDescent="0.3">
      <c r="A41" s="72" t="s">
        <v>69</v>
      </c>
      <c r="B41" s="350">
        <f>IF($E41="Y1",'WindMonitoring_BATS-BETS'!B40,IF($E41="Y",Base!B37-Option1b!I41,IF($E41="N",0)))</f>
        <v>15.6400000000001</v>
      </c>
      <c r="C41" s="350">
        <f>IF($E41="Y1",'WindMonitoring_BATS-BETS'!C40,IF($E41="Y",Base!C37-Option1b!J41,IF($E41="N",0)))</f>
        <v>210.28999999999724</v>
      </c>
      <c r="D41" s="350">
        <f>IF($E41="Y1",'WindMonitoring_BATS-BETS'!D40,IF($E41="Y",Base!D37-Option1b!K41,IF($E41="N",0)))</f>
        <v>215.89279999999781</v>
      </c>
      <c r="E41" s="159" t="str">
        <f t="shared" si="6"/>
        <v>Y1</v>
      </c>
      <c r="F41" s="52">
        <f t="shared" si="8"/>
        <v>13374.558959999864</v>
      </c>
      <c r="H41" s="72" t="s">
        <v>69</v>
      </c>
      <c r="I41" s="40">
        <v>923.06999999999994</v>
      </c>
      <c r="J41" s="40">
        <v>10646.73</v>
      </c>
      <c r="K41" s="40">
        <v>8135.7220799999986</v>
      </c>
      <c r="L41" s="40">
        <f t="shared" si="7"/>
        <v>504007.98285599996</v>
      </c>
    </row>
    <row r="42" spans="1:14" s="168" customFormat="1" x14ac:dyDescent="0.3">
      <c r="A42" s="72" t="s">
        <v>70</v>
      </c>
      <c r="B42" s="385">
        <f>IF($E42="Y1",'WindMonitoring_BATS-BETS'!B41,IF($E42="Y",Base!B38-Option1b!I42,IF($E42="N",0)))</f>
        <v>169.52999999999997</v>
      </c>
      <c r="C42" s="385">
        <f>IF($E42="Y1",'WindMonitoring_BATS-BETS'!C41,IF($E42="Y",Base!C38-Option1b!J42,IF($E42="N",0)))</f>
        <v>1256.119999999999</v>
      </c>
      <c r="D42" s="385">
        <f>IF($E42="Y1",'WindMonitoring_BATS-BETS'!D41,IF($E42="Y",Base!D38-Option1b!K42,IF($E42="N",0)))</f>
        <v>859.48351999999977</v>
      </c>
      <c r="E42" s="159" t="str">
        <f t="shared" si="6"/>
        <v>Y</v>
      </c>
      <c r="F42" s="52">
        <f t="shared" si="8"/>
        <v>53245.004063999986</v>
      </c>
      <c r="H42" s="72" t="s">
        <v>70</v>
      </c>
      <c r="I42" s="40">
        <v>1046.82</v>
      </c>
      <c r="J42" s="40">
        <v>11853.11</v>
      </c>
      <c r="K42" s="40">
        <v>8610.9680000000008</v>
      </c>
      <c r="L42" s="40">
        <f t="shared" si="7"/>
        <v>533449.46760000009</v>
      </c>
    </row>
    <row r="43" spans="1:14" s="168" customFormat="1" x14ac:dyDescent="0.3">
      <c r="A43" s="72" t="s">
        <v>71</v>
      </c>
      <c r="B43" s="385">
        <f>IF($E43="Y1",'WindMonitoring_BATS-BETS'!B42,IF($E43="Y",Base!B39-Option1b!I43,IF($E43="N",0)))</f>
        <v>181.32999999999993</v>
      </c>
      <c r="C43" s="385">
        <f>IF($E43="Y1",'WindMonitoring_BATS-BETS'!C42,IF($E43="Y",Base!C39-Option1b!J43,IF($E43="N",0)))</f>
        <v>1402.9400000000005</v>
      </c>
      <c r="D43" s="385">
        <f>IF($E43="Y1",'WindMonitoring_BATS-BETS'!D42,IF($E43="Y",Base!D39-Option1b!K43,IF($E43="N",0)))</f>
        <v>961.42543999999907</v>
      </c>
      <c r="E43" s="159" t="str">
        <f t="shared" si="6"/>
        <v>Y</v>
      </c>
      <c r="F43" s="52">
        <f t="shared" si="8"/>
        <v>59560.306007999949</v>
      </c>
      <c r="H43" s="72" t="s">
        <v>71</v>
      </c>
      <c r="I43" s="40">
        <v>1090.8800000000001</v>
      </c>
      <c r="J43" s="40">
        <v>13069.469999999998</v>
      </c>
      <c r="K43" s="40">
        <v>9043.3953599999986</v>
      </c>
      <c r="L43" s="40">
        <f t="shared" si="7"/>
        <v>560238.34255199996</v>
      </c>
    </row>
    <row r="44" spans="1:14" s="168" customFormat="1" x14ac:dyDescent="0.3">
      <c r="A44" s="72" t="s">
        <v>72</v>
      </c>
      <c r="B44" s="385">
        <f>IF($E44="Y1",'WindMonitoring_BATS-BETS'!B43,IF($E44="Y",Base!B40-Option1b!I44,IF($E44="N",0)))</f>
        <v>279.01</v>
      </c>
      <c r="C44" s="385">
        <f>IF($E44="Y1",'WindMonitoring_BATS-BETS'!C43,IF($E44="Y",Base!C40-Option1b!J44,IF($E44="N",0)))</f>
        <v>1230.3799999999992</v>
      </c>
      <c r="D44" s="385">
        <f>IF($E44="Y1",'WindMonitoring_BATS-BETS'!D43,IF($E44="Y",Base!D40-Option1b!K44,IF($E44="N",0)))</f>
        <v>778.09832000000097</v>
      </c>
      <c r="E44" s="159" t="str">
        <f t="shared" si="6"/>
        <v>Y</v>
      </c>
      <c r="F44" s="52">
        <f t="shared" si="8"/>
        <v>48203.19092400006</v>
      </c>
      <c r="H44" s="72" t="s">
        <v>72</v>
      </c>
      <c r="I44" s="40">
        <v>1029.92</v>
      </c>
      <c r="J44" s="40">
        <v>14370.89</v>
      </c>
      <c r="K44" s="40">
        <v>9487.2807199999988</v>
      </c>
      <c r="L44" s="40">
        <f t="shared" si="7"/>
        <v>587737.04060399998</v>
      </c>
    </row>
    <row r="45" spans="1:14" s="168" customFormat="1" x14ac:dyDescent="0.3">
      <c r="A45" s="72" t="s">
        <v>73</v>
      </c>
      <c r="B45" s="385">
        <f>IF($E45="Y1",'WindMonitoring_BATS-BETS'!B44,IF($E45="Y",Base!B41-Option1b!I45,IF($E45="N",0)))</f>
        <v>194.11999999999989</v>
      </c>
      <c r="C45" s="385">
        <f>IF($E45="Y1",'WindMonitoring_BATS-BETS'!C44,IF($E45="Y",Base!C41-Option1b!J45,IF($E45="N",0)))</f>
        <v>1305.4999999999964</v>
      </c>
      <c r="D45" s="385">
        <f>IF($E45="Y1",'WindMonitoring_BATS-BETS'!D44,IF($E45="Y",Base!D41-Option1b!K45,IF($E45="N",0)))</f>
        <v>848.6873599999999</v>
      </c>
      <c r="E45" s="159" t="str">
        <f t="shared" si="6"/>
        <v>Y</v>
      </c>
      <c r="F45" s="52">
        <f t="shared" si="8"/>
        <v>52576.181951999999</v>
      </c>
      <c r="H45" s="72" t="s">
        <v>73</v>
      </c>
      <c r="I45" s="40">
        <v>1239.1599999999999</v>
      </c>
      <c r="J45" s="40">
        <v>16758.020000000004</v>
      </c>
      <c r="K45" s="40">
        <v>10448.2232</v>
      </c>
      <c r="L45" s="40">
        <f t="shared" si="7"/>
        <v>647267.42724000011</v>
      </c>
    </row>
    <row r="46" spans="1:14" s="168" customFormat="1" ht="15" thickBot="1" x14ac:dyDescent="0.35">
      <c r="E46" s="60">
        <f>SUM(COUNTIF(E36:E45,{"Y","Y1","Y2"}))</f>
        <v>8</v>
      </c>
      <c r="F46" s="62">
        <f>-PV($G$6,$G$7-E46,F45)</f>
        <v>500860.45649712317</v>
      </c>
      <c r="G46" s="55" t="s">
        <v>11</v>
      </c>
    </row>
    <row r="47" spans="1:14" s="168" customFormat="1" ht="15" thickTop="1" x14ac:dyDescent="0.3"/>
    <row r="48" spans="1:14" s="168" customFormat="1" ht="15.6" x14ac:dyDescent="0.3">
      <c r="A48" s="409" t="s">
        <v>56</v>
      </c>
      <c r="B48" s="410"/>
      <c r="C48" s="410"/>
      <c r="D48" s="410"/>
      <c r="E48" s="410"/>
      <c r="F48" s="411"/>
      <c r="H48" s="406" t="s">
        <v>60</v>
      </c>
      <c r="I48" s="406"/>
      <c r="J48" s="406"/>
      <c r="K48" s="406"/>
      <c r="L48" s="406"/>
    </row>
    <row r="49" spans="1:12" s="168" customFormat="1" ht="57.6" x14ac:dyDescent="0.3">
      <c r="A49" s="158" t="s">
        <v>5</v>
      </c>
      <c r="B49" s="51" t="s">
        <v>151</v>
      </c>
      <c r="C49" s="51" t="s">
        <v>152</v>
      </c>
      <c r="D49" s="51" t="s">
        <v>153</v>
      </c>
      <c r="E49" s="51" t="s">
        <v>12</v>
      </c>
      <c r="F49" s="51" t="s">
        <v>134</v>
      </c>
      <c r="H49" s="158" t="s">
        <v>5</v>
      </c>
      <c r="I49" s="51" t="s">
        <v>75</v>
      </c>
      <c r="J49" s="51" t="s">
        <v>51</v>
      </c>
      <c r="K49" s="50" t="s">
        <v>0</v>
      </c>
      <c r="L49" s="51" t="s">
        <v>58</v>
      </c>
    </row>
    <row r="50" spans="1:12" s="168" customFormat="1" x14ac:dyDescent="0.3">
      <c r="A50" s="72" t="s">
        <v>64</v>
      </c>
      <c r="B50" s="385">
        <f>IF($E50="Y1",'WindMonitoring_BATS-BETS'!B49,IF($E50="Y",Base!B46-Option1b!I50,IF($E50="N",0)))</f>
        <v>0</v>
      </c>
      <c r="C50" s="385">
        <f>IF($E50="Y1",'WindMonitoring_BATS-BETS'!C49,IF($E50="Y",Base!C46-Option1b!J50,IF($E50="N",0)))</f>
        <v>0</v>
      </c>
      <c r="D50" s="385">
        <f>IF($E50="Y1",'WindMonitoring_BATS-BETS'!D49,IF($E50="Y",Base!D46-Option1b!K50,IF($E50="N",0)))</f>
        <v>0</v>
      </c>
      <c r="E50" s="159" t="str">
        <f>E36</f>
        <v>N</v>
      </c>
      <c r="F50" s="52">
        <f>IF(OR(E50="Y",E50="Y1",E50="Y2"),D50*$G$5,0)</f>
        <v>0</v>
      </c>
      <c r="H50" s="72" t="s">
        <v>64</v>
      </c>
      <c r="I50" s="40">
        <v>552.92999999999995</v>
      </c>
      <c r="J50" s="40">
        <v>8766.4100000000017</v>
      </c>
      <c r="K50" s="40">
        <v>7323.46976</v>
      </c>
      <c r="L50" s="40">
        <f t="shared" ref="L50:L59" si="9">K50*$G$5</f>
        <v>453688.95163200004</v>
      </c>
    </row>
    <row r="51" spans="1:12" s="168" customFormat="1" x14ac:dyDescent="0.3">
      <c r="A51" s="72" t="s">
        <v>65</v>
      </c>
      <c r="B51" s="385">
        <f>IF($E51="Y1",'WindMonitoring_BATS-BETS'!B50,IF($E51="Y",Base!B47-Option1b!I51,IF($E51="N",0)))</f>
        <v>0</v>
      </c>
      <c r="C51" s="385">
        <f>IF($E51="Y1",'WindMonitoring_BATS-BETS'!C50,IF($E51="Y",Base!C47-Option1b!J51,IF($E51="N",0)))</f>
        <v>0</v>
      </c>
      <c r="D51" s="385">
        <f>IF($E51="Y1",'WindMonitoring_BATS-BETS'!D50,IF($E51="Y",Base!D47-Option1b!K51,IF($E51="N",0)))</f>
        <v>0</v>
      </c>
      <c r="E51" s="159" t="str">
        <f t="shared" ref="E51:E59" si="10">E37</f>
        <v>N</v>
      </c>
      <c r="F51" s="52">
        <f>IF(OR(E51="Y",E51="Y1",E51="Y2"),D51*$G$5,0)</f>
        <v>0</v>
      </c>
      <c r="H51" s="72" t="s">
        <v>65</v>
      </c>
      <c r="I51" s="40">
        <v>607.22000000000014</v>
      </c>
      <c r="J51" s="40">
        <v>8942.0400000000009</v>
      </c>
      <c r="K51" s="40">
        <v>7330.8069599999999</v>
      </c>
      <c r="L51" s="40">
        <f t="shared" si="9"/>
        <v>454143.49117200001</v>
      </c>
    </row>
    <row r="52" spans="1:12" s="168" customFormat="1" x14ac:dyDescent="0.3">
      <c r="A52" s="72" t="s">
        <v>66</v>
      </c>
      <c r="B52" s="350">
        <f>IF($E52="Y1",'WindMonitoring_BATS-BETS'!B51,IF($E52="Y",Base!B48-Option1b!I52,IF($E52="N",0)))</f>
        <v>13.660000000000082</v>
      </c>
      <c r="C52" s="350">
        <f>IF($E52="Y1",'WindMonitoring_BATS-BETS'!C51,IF($E52="Y",Base!C48-Option1b!J52,IF($E52="N",0)))</f>
        <v>78.680000000000291</v>
      </c>
      <c r="D52" s="350">
        <f>IF($E52="Y1",'WindMonitoring_BATS-BETS'!D51,IF($E52="Y",Base!D48-Option1b!K52,IF($E52="N",0)))</f>
        <v>57.60512000000017</v>
      </c>
      <c r="E52" s="159" t="str">
        <f t="shared" si="10"/>
        <v>Y1</v>
      </c>
      <c r="F52" s="52">
        <f t="shared" ref="F52:F59" si="11">IF(OR(E52="Y",E52="Y1",E52="Y2"),D52*$G$5,0)</f>
        <v>3568.6371840000106</v>
      </c>
      <c r="H52" s="72" t="s">
        <v>66</v>
      </c>
      <c r="I52" s="40">
        <v>677.85</v>
      </c>
      <c r="J52" s="40">
        <v>9342.2800000000025</v>
      </c>
      <c r="K52" s="40">
        <v>7562.1834399999998</v>
      </c>
      <c r="L52" s="40">
        <f t="shared" si="9"/>
        <v>468477.26410800003</v>
      </c>
    </row>
    <row r="53" spans="1:12" s="168" customFormat="1" x14ac:dyDescent="0.3">
      <c r="A53" s="72" t="s">
        <v>67</v>
      </c>
      <c r="B53" s="350">
        <f>IF($E53="Y1",'WindMonitoring_BATS-BETS'!B52,IF($E53="Y",Base!B49-Option1b!I53,IF($E53="N",0)))</f>
        <v>40.240000000000009</v>
      </c>
      <c r="C53" s="350">
        <f>IF($E53="Y1",'WindMonitoring_BATS-BETS'!C52,IF($E53="Y",Base!C49-Option1b!J53,IF($E53="N",0)))</f>
        <v>227.07000000000153</v>
      </c>
      <c r="D53" s="350">
        <f>IF($E53="Y1",'WindMonitoring_BATS-BETS'!D52,IF($E53="Y",Base!D49-Option1b!K53,IF($E53="N",0)))</f>
        <v>143.70312000000013</v>
      </c>
      <c r="E53" s="159" t="str">
        <f t="shared" si="10"/>
        <v>Y1</v>
      </c>
      <c r="F53" s="52">
        <f t="shared" si="11"/>
        <v>8902.4082840000083</v>
      </c>
      <c r="H53" s="72" t="s">
        <v>67</v>
      </c>
      <c r="I53" s="40">
        <v>776.49</v>
      </c>
      <c r="J53" s="40">
        <v>9687.2300000000014</v>
      </c>
      <c r="K53" s="40">
        <v>7757.2219999999998</v>
      </c>
      <c r="L53" s="40">
        <f t="shared" si="9"/>
        <v>480559.90289999999</v>
      </c>
    </row>
    <row r="54" spans="1:12" s="168" customFormat="1" x14ac:dyDescent="0.3">
      <c r="A54" s="72" t="s">
        <v>68</v>
      </c>
      <c r="B54" s="350">
        <f>IF($E54="Y1",'WindMonitoring_BATS-BETS'!B53,IF($E54="Y",Base!B50-Option1b!I54,IF($E54="N",0)))</f>
        <v>-33.459999999999582</v>
      </c>
      <c r="C54" s="350">
        <f>IF($E54="Y1",'WindMonitoring_BATS-BETS'!C53,IF($E54="Y",Base!C50-Option1b!J54,IF($E54="N",0)))</f>
        <v>247.67999999999847</v>
      </c>
      <c r="D54" s="350">
        <f>IF($E54="Y1",'WindMonitoring_BATS-BETS'!D53,IF($E54="Y",Base!D50-Option1b!K54,IF($E54="N",0)))</f>
        <v>142.73711999999978</v>
      </c>
      <c r="E54" s="159" t="str">
        <f t="shared" si="10"/>
        <v>Y1</v>
      </c>
      <c r="F54" s="52">
        <f t="shared" si="11"/>
        <v>8842.564583999987</v>
      </c>
      <c r="H54" s="72" t="s">
        <v>68</v>
      </c>
      <c r="I54" s="40">
        <v>1101.73</v>
      </c>
      <c r="J54" s="40">
        <v>10427.109999999999</v>
      </c>
      <c r="K54" s="40">
        <v>8092.2596799999992</v>
      </c>
      <c r="L54" s="40">
        <f t="shared" si="9"/>
        <v>501315.48717599997</v>
      </c>
    </row>
    <row r="55" spans="1:12" s="168" customFormat="1" x14ac:dyDescent="0.3">
      <c r="A55" s="72" t="s">
        <v>69</v>
      </c>
      <c r="B55" s="350">
        <f>IF($E55="Y1",'WindMonitoring_BATS-BETS'!B54,IF($E55="Y",Base!B51-Option1b!I55,IF($E55="N",0)))</f>
        <v>21.539999999999964</v>
      </c>
      <c r="C55" s="350">
        <f>IF($E55="Y1",'WindMonitoring_BATS-BETS'!C54,IF($E55="Y",Base!C51-Option1b!J55,IF($E55="N",0)))</f>
        <v>272.98999999999978</v>
      </c>
      <c r="D55" s="350">
        <f>IF($E55="Y1",'WindMonitoring_BATS-BETS'!D54,IF($E55="Y",Base!D51-Option1b!K55,IF($E55="N",0)))</f>
        <v>271.20127999999931</v>
      </c>
      <c r="E55" s="159" t="str">
        <f t="shared" si="10"/>
        <v>Y1</v>
      </c>
      <c r="F55" s="52">
        <f t="shared" si="11"/>
        <v>16800.91929599996</v>
      </c>
      <c r="H55" s="72" t="s">
        <v>69</v>
      </c>
      <c r="I55" s="40">
        <v>1118.44</v>
      </c>
      <c r="J55" s="40">
        <v>10939.3</v>
      </c>
      <c r="K55" s="40">
        <v>8426.9557599999989</v>
      </c>
      <c r="L55" s="40">
        <f t="shared" si="9"/>
        <v>522049.90933199995</v>
      </c>
    </row>
    <row r="56" spans="1:12" s="168" customFormat="1" x14ac:dyDescent="0.3">
      <c r="A56" s="72" t="s">
        <v>70</v>
      </c>
      <c r="B56" s="385">
        <f>IF($E56="Y1",'WindMonitoring_BATS-BETS'!B55,IF($E56="Y",Base!B52-Option1b!I56,IF($E56="N",0)))</f>
        <v>65.910000000000309</v>
      </c>
      <c r="C56" s="385">
        <f>IF($E56="Y1",'WindMonitoring_BATS-BETS'!C55,IF($E56="Y",Base!C52-Option1b!J56,IF($E56="N",0)))</f>
        <v>2335.7599999999966</v>
      </c>
      <c r="D56" s="385">
        <f>IF($E56="Y1",'WindMonitoring_BATS-BETS'!D55,IF($E56="Y",Base!D52-Option1b!K56,IF($E56="N",0)))</f>
        <v>1506.4899199999982</v>
      </c>
      <c r="E56" s="159" t="str">
        <f t="shared" si="10"/>
        <v>Y</v>
      </c>
      <c r="F56" s="52">
        <f t="shared" si="11"/>
        <v>93327.050543999896</v>
      </c>
      <c r="H56" s="72" t="s">
        <v>70</v>
      </c>
      <c r="I56" s="40">
        <v>1337.8499999999997</v>
      </c>
      <c r="J56" s="40">
        <v>12342.21</v>
      </c>
      <c r="K56" s="40">
        <v>8888.0872799999997</v>
      </c>
      <c r="L56" s="40">
        <f t="shared" si="9"/>
        <v>550617.00699599995</v>
      </c>
    </row>
    <row r="57" spans="1:12" s="168" customFormat="1" x14ac:dyDescent="0.3">
      <c r="A57" s="72" t="s">
        <v>71</v>
      </c>
      <c r="B57" s="385">
        <f>IF($E57="Y1",'WindMonitoring_BATS-BETS'!B56,IF($E57="Y",Base!B53-Option1b!I57,IF($E57="N",0)))</f>
        <v>158.41000000000008</v>
      </c>
      <c r="C57" s="385">
        <f>IF($E57="Y1",'WindMonitoring_BATS-BETS'!C56,IF($E57="Y",Base!C53-Option1b!J57,IF($E57="N",0)))</f>
        <v>2982.3299999999981</v>
      </c>
      <c r="D57" s="385">
        <f>IF($E57="Y1",'WindMonitoring_BATS-BETS'!D56,IF($E57="Y",Base!D53-Option1b!K57,IF($E57="N",0)))</f>
        <v>1771.8050399999993</v>
      </c>
      <c r="E57" s="159" t="str">
        <f t="shared" si="10"/>
        <v>Y</v>
      </c>
      <c r="F57" s="52">
        <f t="shared" si="11"/>
        <v>109763.32222799996</v>
      </c>
      <c r="H57" s="72" t="s">
        <v>71</v>
      </c>
      <c r="I57" s="40">
        <v>1283.0999999999999</v>
      </c>
      <c r="J57" s="40">
        <v>13535.05</v>
      </c>
      <c r="K57" s="40">
        <v>9344.2530399999996</v>
      </c>
      <c r="L57" s="40">
        <f t="shared" si="9"/>
        <v>578876.475828</v>
      </c>
    </row>
    <row r="58" spans="1:12" s="168" customFormat="1" x14ac:dyDescent="0.3">
      <c r="A58" s="72" t="s">
        <v>72</v>
      </c>
      <c r="B58" s="385">
        <f>IF($E58="Y1",'WindMonitoring_BATS-BETS'!B57,IF($E58="Y",Base!B54-Option1b!I58,IF($E58="N",0)))</f>
        <v>108.25999999999976</v>
      </c>
      <c r="C58" s="385">
        <f>IF($E58="Y1",'WindMonitoring_BATS-BETS'!C57,IF($E58="Y",Base!C54-Option1b!J58,IF($E58="N",0)))</f>
        <v>3436.2000000000044</v>
      </c>
      <c r="D58" s="385">
        <f>IF($E58="Y1",'WindMonitoring_BATS-BETS'!D57,IF($E58="Y",Base!D54-Option1b!K58,IF($E58="N",0)))</f>
        <v>1882.0737599999993</v>
      </c>
      <c r="E58" s="159" t="str">
        <f t="shared" si="10"/>
        <v>Y</v>
      </c>
      <c r="F58" s="52">
        <f t="shared" si="11"/>
        <v>116594.46943199997</v>
      </c>
      <c r="H58" s="72" t="s">
        <v>72</v>
      </c>
      <c r="I58" s="40">
        <v>1557.6400000000003</v>
      </c>
      <c r="J58" s="40">
        <v>15729.029999999999</v>
      </c>
      <c r="K58" s="40">
        <v>10432.12896</v>
      </c>
      <c r="L58" s="40">
        <f t="shared" si="9"/>
        <v>646270.38907200005</v>
      </c>
    </row>
    <row r="59" spans="1:12" s="168" customFormat="1" x14ac:dyDescent="0.3">
      <c r="A59" s="72" t="s">
        <v>73</v>
      </c>
      <c r="B59" s="385">
        <f>IF($E59="Y1",'WindMonitoring_BATS-BETS'!B58,IF($E59="Y",Base!B55-Option1b!I59,IF($E59="N",0)))</f>
        <v>215.29999999999995</v>
      </c>
      <c r="C59" s="385">
        <f>IF($E59="Y1",'WindMonitoring_BATS-BETS'!C58,IF($E59="Y",Base!C55-Option1b!J59,IF($E59="N",0)))</f>
        <v>4820.7900000000081</v>
      </c>
      <c r="D59" s="385">
        <f>IF($E59="Y1",'WindMonitoring_BATS-BETS'!D58,IF($E59="Y",Base!D55-Option1b!K59,IF($E59="N",0)))</f>
        <v>2534.8615200000022</v>
      </c>
      <c r="E59" s="159" t="str">
        <f t="shared" si="10"/>
        <v>Y</v>
      </c>
      <c r="F59" s="52">
        <f t="shared" si="11"/>
        <v>157034.67116400014</v>
      </c>
      <c r="H59" s="72" t="s">
        <v>73</v>
      </c>
      <c r="I59" s="40">
        <v>1734.53</v>
      </c>
      <c r="J59" s="40">
        <v>18336.249999999993</v>
      </c>
      <c r="K59" s="40">
        <v>11457.466239999998</v>
      </c>
      <c r="L59" s="40">
        <f t="shared" si="9"/>
        <v>709790.03356799996</v>
      </c>
    </row>
    <row r="60" spans="1:12" s="168" customFormat="1" ht="15" thickBot="1" x14ac:dyDescent="0.35">
      <c r="E60" s="60">
        <f>SUM(COUNTIF(E50:E59,{"Y","Y1","Y2"}))</f>
        <v>8</v>
      </c>
      <c r="F60" s="62">
        <f>-PV($G$6,$G$7-E60,F59)</f>
        <v>1495971.2585612123</v>
      </c>
      <c r="G60" s="55" t="s">
        <v>11</v>
      </c>
    </row>
    <row r="61" spans="1:12" s="168" customFormat="1" ht="15" thickTop="1" x14ac:dyDescent="0.3"/>
    <row r="62" spans="1:12" s="168" customFormat="1" ht="15.6" x14ac:dyDescent="0.3">
      <c r="A62" s="409" t="s">
        <v>55</v>
      </c>
      <c r="B62" s="410"/>
      <c r="C62" s="410"/>
      <c r="D62" s="410"/>
      <c r="E62" s="410"/>
      <c r="F62" s="411"/>
      <c r="H62" s="406" t="s">
        <v>61</v>
      </c>
      <c r="I62" s="406"/>
      <c r="J62" s="406"/>
      <c r="K62" s="406"/>
      <c r="L62" s="406"/>
    </row>
    <row r="63" spans="1:12" s="168" customFormat="1" ht="57.6" x14ac:dyDescent="0.3">
      <c r="A63" s="158" t="s">
        <v>5</v>
      </c>
      <c r="B63" s="51" t="s">
        <v>151</v>
      </c>
      <c r="C63" s="51" t="s">
        <v>152</v>
      </c>
      <c r="D63" s="51" t="s">
        <v>153</v>
      </c>
      <c r="E63" s="51" t="s">
        <v>12</v>
      </c>
      <c r="F63" s="51" t="s">
        <v>134</v>
      </c>
      <c r="H63" s="158" t="s">
        <v>5</v>
      </c>
      <c r="I63" s="51" t="s">
        <v>75</v>
      </c>
      <c r="J63" s="51" t="s">
        <v>51</v>
      </c>
      <c r="K63" s="50" t="s">
        <v>0</v>
      </c>
      <c r="L63" s="51" t="s">
        <v>58</v>
      </c>
    </row>
    <row r="64" spans="1:12" s="168" customFormat="1" x14ac:dyDescent="0.3">
      <c r="A64" s="72" t="s">
        <v>64</v>
      </c>
      <c r="B64" s="385">
        <f>IF($E64="Y1",'WindMonitoring_BATS-BETS'!B63,IF($E64="Y",Base!B60-Option1b!I64,IF($E64="N",0)))</f>
        <v>0</v>
      </c>
      <c r="C64" s="385">
        <f>IF($E64="Y1",'WindMonitoring_BATS-BETS'!C63,IF($E64="Y",Base!C60-Option1b!J64,IF($E64="N",0)))</f>
        <v>0</v>
      </c>
      <c r="D64" s="385">
        <f>IF($E64="Y1",'WindMonitoring_BATS-BETS'!D63,IF($E64="Y",Base!D60-Option1b!K64,IF($E64="N",0)))</f>
        <v>0</v>
      </c>
      <c r="E64" s="159" t="str">
        <f>E36</f>
        <v>N</v>
      </c>
      <c r="F64" s="52">
        <f>IF(OR(E64="Y",E64="Y1",E64="Y2"),D64*$G$5,0)</f>
        <v>0</v>
      </c>
      <c r="H64" s="72" t="s">
        <v>64</v>
      </c>
      <c r="I64" s="40">
        <v>523.51</v>
      </c>
      <c r="J64" s="40">
        <v>8619.2799999999988</v>
      </c>
      <c r="K64" s="40">
        <v>7213.3043199999993</v>
      </c>
      <c r="L64" s="40">
        <f t="shared" ref="L64:L73" si="12">K64*$G$5</f>
        <v>446864.20262399997</v>
      </c>
    </row>
    <row r="65" spans="1:15" s="168" customFormat="1" x14ac:dyDescent="0.3">
      <c r="A65" s="72" t="s">
        <v>65</v>
      </c>
      <c r="B65" s="385">
        <f>IF($E65="Y1",'WindMonitoring_BATS-BETS'!B64,IF($E65="Y",Base!B61-Option1b!I65,IF($E65="N",0)))</f>
        <v>0</v>
      </c>
      <c r="C65" s="385">
        <f>IF($E65="Y1",'WindMonitoring_BATS-BETS'!C64,IF($E65="Y",Base!C61-Option1b!J65,IF($E65="N",0)))</f>
        <v>0</v>
      </c>
      <c r="D65" s="385">
        <f>IF($E65="Y1",'WindMonitoring_BATS-BETS'!D64,IF($E65="Y",Base!D61-Option1b!K65,IF($E65="N",0)))</f>
        <v>0</v>
      </c>
      <c r="E65" s="159" t="str">
        <f t="shared" ref="E65:E73" si="13">E37</f>
        <v>N</v>
      </c>
      <c r="F65" s="52">
        <f>IF(OR(E65="Y",E65="Y1",E65="Y2"),D65*$G$5,0)</f>
        <v>0</v>
      </c>
      <c r="H65" s="72" t="s">
        <v>65</v>
      </c>
      <c r="I65" s="40">
        <v>546.66</v>
      </c>
      <c r="J65" s="40">
        <v>8755.49</v>
      </c>
      <c r="K65" s="40">
        <v>7264.9016000000001</v>
      </c>
      <c r="L65" s="40">
        <f t="shared" si="12"/>
        <v>450060.65412000002</v>
      </c>
    </row>
    <row r="66" spans="1:15" s="168" customFormat="1" x14ac:dyDescent="0.3">
      <c r="A66" s="72" t="s">
        <v>66</v>
      </c>
      <c r="B66" s="350">
        <f>IF($E66="Y1",'WindMonitoring_BATS-BETS'!B65,IF($E66="Y",Base!B62-Option1b!I66,IF($E66="N",0)))</f>
        <v>43.5</v>
      </c>
      <c r="C66" s="350">
        <f>IF($E66="Y1",'WindMonitoring_BATS-BETS'!C65,IF($E66="Y",Base!C62-Option1b!J66,IF($E66="N",0)))</f>
        <v>143.60000000000036</v>
      </c>
      <c r="D66" s="350">
        <f>IF($E66="Y1",'WindMonitoring_BATS-BETS'!D65,IF($E66="Y",Base!D62-Option1b!K66,IF($E66="N",0)))</f>
        <v>96.529520000000048</v>
      </c>
      <c r="E66" s="159" t="str">
        <f t="shared" si="13"/>
        <v>Y1</v>
      </c>
      <c r="F66" s="52">
        <f t="shared" ref="F66:F73" si="14">IF(OR(E66="Y",E66="Y1",E66="Y2"),D66*$G$5,0)</f>
        <v>5980.0037640000037</v>
      </c>
      <c r="H66" s="72" t="s">
        <v>66</v>
      </c>
      <c r="I66" s="40">
        <v>563.01</v>
      </c>
      <c r="J66" s="40">
        <v>8863.23</v>
      </c>
      <c r="K66" s="40">
        <v>7330.2204000000002</v>
      </c>
      <c r="L66" s="40">
        <f t="shared" si="12"/>
        <v>454107.15378000005</v>
      </c>
    </row>
    <row r="67" spans="1:15" s="168" customFormat="1" x14ac:dyDescent="0.3">
      <c r="A67" s="72" t="s">
        <v>67</v>
      </c>
      <c r="B67" s="350">
        <f>IF($E67="Y1",'WindMonitoring_BATS-BETS'!B66,IF($E67="Y",Base!B63-Option1b!I67,IF($E67="N",0)))</f>
        <v>40.400000000000091</v>
      </c>
      <c r="C67" s="350">
        <f>IF($E67="Y1",'WindMonitoring_BATS-BETS'!C66,IF($E67="Y",Base!C63-Option1b!J67,IF($E67="N",0)))</f>
        <v>144.59000000000196</v>
      </c>
      <c r="D67" s="350">
        <f>IF($E67="Y1",'WindMonitoring_BATS-BETS'!D66,IF($E67="Y",Base!D63-Option1b!K67,IF($E67="N",0)))</f>
        <v>134.59544000000005</v>
      </c>
      <c r="E67" s="159" t="str">
        <f t="shared" si="13"/>
        <v>Y1</v>
      </c>
      <c r="F67" s="52">
        <f t="shared" si="14"/>
        <v>8338.1875080000045</v>
      </c>
      <c r="H67" s="72" t="s">
        <v>67</v>
      </c>
      <c r="I67" s="40">
        <v>576.21</v>
      </c>
      <c r="J67" s="40">
        <v>8922.18</v>
      </c>
      <c r="K67" s="40">
        <v>7336.10736</v>
      </c>
      <c r="L67" s="40">
        <f t="shared" si="12"/>
        <v>454471.85095200001</v>
      </c>
    </row>
    <row r="68" spans="1:15" s="168" customFormat="1" x14ac:dyDescent="0.3">
      <c r="A68" s="72" t="s">
        <v>68</v>
      </c>
      <c r="B68" s="350">
        <f>IF($E68="Y1",'WindMonitoring_BATS-BETS'!B67,IF($E68="Y",Base!B64-Option1b!I68,IF($E68="N",0)))</f>
        <v>23.540000000000191</v>
      </c>
      <c r="C68" s="350">
        <f>IF($E68="Y1",'WindMonitoring_BATS-BETS'!C67,IF($E68="Y",Base!C64-Option1b!J68,IF($E68="N",0)))</f>
        <v>195.66000000000167</v>
      </c>
      <c r="D68" s="350">
        <f>IF($E68="Y1",'WindMonitoring_BATS-BETS'!D67,IF($E68="Y",Base!D64-Option1b!K68,IF($E68="N",0)))</f>
        <v>166.04519999999866</v>
      </c>
      <c r="E68" s="159" t="str">
        <f t="shared" si="13"/>
        <v>Y1</v>
      </c>
      <c r="F68" s="52">
        <f t="shared" si="14"/>
        <v>10286.500139999918</v>
      </c>
      <c r="H68" s="72" t="s">
        <v>68</v>
      </c>
      <c r="I68" s="40">
        <v>661.15</v>
      </c>
      <c r="J68" s="40">
        <v>9153.3399999999983</v>
      </c>
      <c r="K68" s="40">
        <v>7438.02016</v>
      </c>
      <c r="L68" s="40">
        <f t="shared" si="12"/>
        <v>460785.34891200002</v>
      </c>
    </row>
    <row r="69" spans="1:15" s="168" customFormat="1" x14ac:dyDescent="0.3">
      <c r="A69" s="72" t="s">
        <v>69</v>
      </c>
      <c r="B69" s="350">
        <f>IF($E69="Y1",'WindMonitoring_BATS-BETS'!B68,IF($E69="Y",Base!B65-Option1b!I69,IF($E69="N",0)))</f>
        <v>9.7400000000000091</v>
      </c>
      <c r="C69" s="350">
        <f>IF($E69="Y1",'WindMonitoring_BATS-BETS'!C68,IF($E69="Y",Base!C65-Option1b!J69,IF($E69="N",0)))</f>
        <v>236.36000000000058</v>
      </c>
      <c r="D69" s="350">
        <f>IF($E69="Y1",'WindMonitoring_BATS-BETS'!D68,IF($E69="Y",Base!D65-Option1b!K69,IF($E69="N",0)))</f>
        <v>205.68727999999919</v>
      </c>
      <c r="E69" s="159" t="str">
        <f t="shared" si="13"/>
        <v>Y1</v>
      </c>
      <c r="F69" s="52">
        <f t="shared" si="14"/>
        <v>12742.326995999951</v>
      </c>
      <c r="H69" s="72" t="s">
        <v>69</v>
      </c>
      <c r="I69" s="40">
        <v>741.1500000000002</v>
      </c>
      <c r="J69" s="40">
        <v>9524.0500000000011</v>
      </c>
      <c r="K69" s="40">
        <v>7653.5012799999995</v>
      </c>
      <c r="L69" s="40">
        <f t="shared" si="12"/>
        <v>474134.40429599996</v>
      </c>
    </row>
    <row r="70" spans="1:15" s="168" customFormat="1" x14ac:dyDescent="0.3">
      <c r="A70" s="72" t="s">
        <v>70</v>
      </c>
      <c r="B70" s="385">
        <f>IF($E70="Y1",'WindMonitoring_BATS-BETS'!B69,IF($E70="Y",Base!B66-Option1b!I70,IF($E70="N",0)))</f>
        <v>284.59000000000026</v>
      </c>
      <c r="C70" s="385">
        <f>IF($E70="Y1",'WindMonitoring_BATS-BETS'!C69,IF($E70="Y",Base!C66-Option1b!J70,IF($E70="N",0)))</f>
        <v>1133.1200000000008</v>
      </c>
      <c r="D70" s="385">
        <f>IF($E70="Y1",'WindMonitoring_BATS-BETS'!D69,IF($E70="Y",Base!D66-Option1b!K70,IF($E70="N",0)))</f>
        <v>708.70615999999973</v>
      </c>
      <c r="E70" s="159" t="str">
        <f t="shared" si="13"/>
        <v>Y</v>
      </c>
      <c r="F70" s="52">
        <f t="shared" si="14"/>
        <v>43904.346611999987</v>
      </c>
      <c r="H70" s="72" t="s">
        <v>70</v>
      </c>
      <c r="I70" s="40">
        <v>782.96999999999991</v>
      </c>
      <c r="J70" s="40">
        <v>9911.619999999999</v>
      </c>
      <c r="K70" s="40">
        <v>7822.2279999999992</v>
      </c>
      <c r="L70" s="40">
        <f t="shared" si="12"/>
        <v>484587.02459999995</v>
      </c>
    </row>
    <row r="71" spans="1:15" s="168" customFormat="1" x14ac:dyDescent="0.3">
      <c r="A71" s="72" t="s">
        <v>71</v>
      </c>
      <c r="B71" s="385">
        <f>IF($E71="Y1",'WindMonitoring_BATS-BETS'!B70,IF($E71="Y",Base!B67-Option1b!I71,IF($E71="N",0)))</f>
        <v>270.53999999999996</v>
      </c>
      <c r="C71" s="385">
        <f>IF($E71="Y1",'WindMonitoring_BATS-BETS'!C70,IF($E71="Y",Base!C67-Option1b!J71,IF($E71="N",0)))</f>
        <v>1153.0499999999993</v>
      </c>
      <c r="D71" s="385">
        <f>IF($E71="Y1",'WindMonitoring_BATS-BETS'!D70,IF($E71="Y",Base!D67-Option1b!K71,IF($E71="N",0)))</f>
        <v>720.95927999999913</v>
      </c>
      <c r="E71" s="159" t="str">
        <f t="shared" si="13"/>
        <v>Y</v>
      </c>
      <c r="F71" s="52">
        <f t="shared" si="14"/>
        <v>44663.427395999948</v>
      </c>
      <c r="H71" s="72" t="s">
        <v>71</v>
      </c>
      <c r="I71" s="40">
        <v>828.57999999999993</v>
      </c>
      <c r="J71" s="40">
        <v>10381.560000000001</v>
      </c>
      <c r="K71" s="40">
        <v>8043.1879200000003</v>
      </c>
      <c r="L71" s="40">
        <f t="shared" si="12"/>
        <v>498275.49164400005</v>
      </c>
    </row>
    <row r="72" spans="1:15" s="168" customFormat="1" x14ac:dyDescent="0.3">
      <c r="A72" s="72" t="s">
        <v>72</v>
      </c>
      <c r="B72" s="385">
        <f>IF($E72="Y1",'WindMonitoring_BATS-BETS'!B71,IF($E72="Y",Base!B68-Option1b!I72,IF($E72="N",0)))</f>
        <v>284.93000000000006</v>
      </c>
      <c r="C72" s="385">
        <f>IF($E72="Y1",'WindMonitoring_BATS-BETS'!C71,IF($E72="Y",Base!C68-Option1b!J72,IF($E72="N",0)))</f>
        <v>938.98999999999978</v>
      </c>
      <c r="D72" s="385">
        <f>IF($E72="Y1",'WindMonitoring_BATS-BETS'!D71,IF($E72="Y",Base!D68-Option1b!K72,IF($E72="N",0)))</f>
        <v>588.93679999999858</v>
      </c>
      <c r="E72" s="159" t="str">
        <f t="shared" si="13"/>
        <v>Y</v>
      </c>
      <c r="F72" s="52">
        <f t="shared" si="14"/>
        <v>36484.634759999914</v>
      </c>
      <c r="H72" s="72" t="s">
        <v>72</v>
      </c>
      <c r="I72" s="40">
        <v>758.15000000000009</v>
      </c>
      <c r="J72" s="40">
        <v>10551.849999999999</v>
      </c>
      <c r="K72" s="40">
        <v>7978.0141599999997</v>
      </c>
      <c r="L72" s="40">
        <f t="shared" si="12"/>
        <v>494237.977212</v>
      </c>
    </row>
    <row r="73" spans="1:15" s="168" customFormat="1" x14ac:dyDescent="0.3">
      <c r="A73" s="72" t="s">
        <v>73</v>
      </c>
      <c r="B73" s="385">
        <f>IF($E73="Y1",'WindMonitoring_BATS-BETS'!B72,IF($E73="Y",Base!B69-Option1b!I73,IF($E73="N",0)))</f>
        <v>299.37</v>
      </c>
      <c r="C73" s="385">
        <f>IF($E73="Y1",'WindMonitoring_BATS-BETS'!C72,IF($E73="Y",Base!C69-Option1b!J73,IF($E73="N",0)))</f>
        <v>1116.7100000000009</v>
      </c>
      <c r="D73" s="385">
        <f>IF($E73="Y1",'WindMonitoring_BATS-BETS'!D72,IF($E73="Y",Base!D69-Option1b!K73,IF($E73="N",0)))</f>
        <v>689.48432000000139</v>
      </c>
      <c r="E73" s="159" t="str">
        <f t="shared" si="13"/>
        <v>Y</v>
      </c>
      <c r="F73" s="52">
        <f t="shared" si="14"/>
        <v>42713.553624000087</v>
      </c>
      <c r="H73" s="72" t="s">
        <v>73</v>
      </c>
      <c r="I73" s="40">
        <v>784.75000000000011</v>
      </c>
      <c r="J73" s="40">
        <v>11385.819999999998</v>
      </c>
      <c r="K73" s="40">
        <v>8248.7043999999987</v>
      </c>
      <c r="L73" s="40">
        <f t="shared" si="12"/>
        <v>511007.23757999996</v>
      </c>
    </row>
    <row r="74" spans="1:15" s="168" customFormat="1" ht="15" thickBot="1" x14ac:dyDescent="0.35">
      <c r="E74" s="60">
        <f>SUM(COUNTIF(E64:E73,{"Y","Y1","Y2"}))</f>
        <v>8</v>
      </c>
      <c r="F74" s="62">
        <f>-PV($G$6,$G$7-E74,F73)</f>
        <v>406905.35471484956</v>
      </c>
      <c r="G74" s="55" t="s">
        <v>11</v>
      </c>
    </row>
    <row r="75" spans="1:15" s="168" customFormat="1" ht="15" thickTop="1" x14ac:dyDescent="0.3"/>
    <row r="76" spans="1:15" s="168" customFormat="1" ht="15.6" x14ac:dyDescent="0.3">
      <c r="A76" s="409" t="s">
        <v>54</v>
      </c>
      <c r="B76" s="410"/>
      <c r="C76" s="410"/>
      <c r="D76" s="410"/>
      <c r="E76" s="410"/>
      <c r="F76" s="411"/>
      <c r="H76" s="406" t="s">
        <v>62</v>
      </c>
      <c r="I76" s="406"/>
      <c r="J76" s="406"/>
      <c r="K76" s="406"/>
      <c r="L76" s="406"/>
    </row>
    <row r="77" spans="1:15" s="168" customFormat="1" ht="57.6" x14ac:dyDescent="0.3">
      <c r="A77" s="158" t="s">
        <v>5</v>
      </c>
      <c r="B77" s="51" t="s">
        <v>151</v>
      </c>
      <c r="C77" s="51" t="s">
        <v>152</v>
      </c>
      <c r="D77" s="51" t="s">
        <v>153</v>
      </c>
      <c r="E77" s="51" t="s">
        <v>12</v>
      </c>
      <c r="F77" s="51" t="s">
        <v>134</v>
      </c>
      <c r="H77" s="158" t="s">
        <v>5</v>
      </c>
      <c r="I77" s="51" t="s">
        <v>75</v>
      </c>
      <c r="J77" s="51" t="s">
        <v>51</v>
      </c>
      <c r="K77" s="50" t="s">
        <v>0</v>
      </c>
      <c r="L77" s="51" t="s">
        <v>58</v>
      </c>
    </row>
    <row r="78" spans="1:15" s="168" customFormat="1" x14ac:dyDescent="0.3">
      <c r="A78" s="72" t="s">
        <v>64</v>
      </c>
      <c r="B78" s="385">
        <f>IF($E78="Y1",'WindMonitoring_BATS-BETS'!B77,IF($E78="Y",Base!B74-Option1b!I78,IF($E78="N",0)))</f>
        <v>0</v>
      </c>
      <c r="C78" s="385">
        <f>IF($E78="Y1",'WindMonitoring_BATS-BETS'!C77,IF($E78="Y",Base!C74-Option1b!J78,IF($E78="N",0)))</f>
        <v>0</v>
      </c>
      <c r="D78" s="385">
        <f>IF($E78="Y1",'WindMonitoring_BATS-BETS'!D77,IF($E78="Y",Base!D74-Option1b!K78,IF($E78="N",0)))</f>
        <v>0</v>
      </c>
      <c r="E78" s="159" t="str">
        <f>E36</f>
        <v>N</v>
      </c>
      <c r="F78" s="52">
        <f>IF(OR(E78="Y",E78="Y1",E78="Y2"),D78*$G$5,0)</f>
        <v>0</v>
      </c>
      <c r="H78" s="72" t="s">
        <v>64</v>
      </c>
      <c r="I78" s="40">
        <v>523.51</v>
      </c>
      <c r="J78" s="40">
        <v>8619.2799999999988</v>
      </c>
      <c r="K78" s="40">
        <v>7213.3043199999993</v>
      </c>
      <c r="L78" s="40">
        <f t="shared" ref="L78:L87" si="15">K78*$G$5</f>
        <v>446864.20262399997</v>
      </c>
    </row>
    <row r="79" spans="1:15" s="168" customFormat="1" x14ac:dyDescent="0.3">
      <c r="A79" s="72" t="s">
        <v>65</v>
      </c>
      <c r="B79" s="385">
        <f>IF($E79="Y1",'WindMonitoring_BATS-BETS'!B78,IF($E79="Y",Base!B75-Option1b!I79,IF($E79="N",0)))</f>
        <v>0</v>
      </c>
      <c r="C79" s="385">
        <f>IF($E79="Y1",'WindMonitoring_BATS-BETS'!C78,IF($E79="Y",Base!C75-Option1b!J79,IF($E79="N",0)))</f>
        <v>0</v>
      </c>
      <c r="D79" s="385">
        <f>IF($E79="Y1",'WindMonitoring_BATS-BETS'!D78,IF($E79="Y",Base!D75-Option1b!K79,IF($E79="N",0)))</f>
        <v>0</v>
      </c>
      <c r="E79" s="159" t="str">
        <f t="shared" ref="E79:E87" si="16">E37</f>
        <v>N</v>
      </c>
      <c r="F79" s="52">
        <f>IF(OR(E79="Y",E79="Y1",E79="Y2"),D79*$G$5,0)</f>
        <v>0</v>
      </c>
      <c r="H79" s="72" t="s">
        <v>65</v>
      </c>
      <c r="I79" s="40">
        <v>546.66</v>
      </c>
      <c r="J79" s="40">
        <v>8755.119999999999</v>
      </c>
      <c r="K79" s="40">
        <v>7264.3158399999993</v>
      </c>
      <c r="L79" s="40">
        <f t="shared" si="15"/>
        <v>450024.36628799996</v>
      </c>
    </row>
    <row r="80" spans="1:15" s="168" customFormat="1" x14ac:dyDescent="0.3">
      <c r="A80" s="72" t="s">
        <v>66</v>
      </c>
      <c r="B80" s="350">
        <f>IF($E80="Y1",'WindMonitoring_BATS-BETS'!B79,IF($E80="Y",Base!B76-Option1b!I80,IF($E80="N",0)))</f>
        <v>16.960000000000036</v>
      </c>
      <c r="C80" s="350">
        <f>IF($E80="Y1",'WindMonitoring_BATS-BETS'!C79,IF($E80="Y",Base!C76-Option1b!J80,IF($E80="N",0)))</f>
        <v>71.280000000000655</v>
      </c>
      <c r="D80" s="350">
        <f>IF($E80="Y1",'WindMonitoring_BATS-BETS'!D79,IF($E80="Y",Base!D76-Option1b!K80,IF($E80="N",0)))</f>
        <v>42.068879999999808</v>
      </c>
      <c r="E80" s="159" t="str">
        <f t="shared" si="16"/>
        <v>Y1</v>
      </c>
      <c r="F80" s="52">
        <f t="shared" ref="F80:F87" si="17">IF(OR(E80="Y",E80="Y1",E80="Y2"),D80*$G$5,0)</f>
        <v>2606.1671159999883</v>
      </c>
      <c r="H80" s="72" t="s">
        <v>66</v>
      </c>
      <c r="I80" s="40">
        <v>566.59</v>
      </c>
      <c r="J80" s="40">
        <v>8865.86</v>
      </c>
      <c r="K80" s="40">
        <v>7329.6279200000008</v>
      </c>
      <c r="L80" s="40">
        <f t="shared" si="15"/>
        <v>454070.44964400009</v>
      </c>
      <c r="N80" s="39"/>
      <c r="O80" s="39"/>
    </row>
    <row r="81" spans="1:15" s="168" customFormat="1" x14ac:dyDescent="0.3">
      <c r="A81" s="72" t="s">
        <v>67</v>
      </c>
      <c r="B81" s="350">
        <f>IF($E81="Y1",'WindMonitoring_BATS-BETS'!B80,IF($E81="Y",Base!B77-Option1b!I81,IF($E81="N",0)))</f>
        <v>39.96000000000015</v>
      </c>
      <c r="C81" s="350">
        <f>IF($E81="Y1",'WindMonitoring_BATS-BETS'!C80,IF($E81="Y",Base!C77-Option1b!J81,IF($E81="N",0)))</f>
        <v>200.28000000000247</v>
      </c>
      <c r="D81" s="350">
        <f>IF($E81="Y1",'WindMonitoring_BATS-BETS'!D80,IF($E81="Y",Base!D77-Option1b!K81,IF($E81="N",0)))</f>
        <v>129.85176000000138</v>
      </c>
      <c r="E81" s="159" t="str">
        <f t="shared" si="16"/>
        <v>Y1</v>
      </c>
      <c r="F81" s="52">
        <f t="shared" si="17"/>
        <v>8044.3165320000853</v>
      </c>
      <c r="H81" s="72" t="s">
        <v>67</v>
      </c>
      <c r="I81" s="40">
        <v>619.20000000000005</v>
      </c>
      <c r="J81" s="40">
        <v>9069.4900000000016</v>
      </c>
      <c r="K81" s="40">
        <v>7469.8314399999999</v>
      </c>
      <c r="L81" s="40">
        <f t="shared" si="15"/>
        <v>462756.05770800001</v>
      </c>
      <c r="N81" s="45"/>
      <c r="O81" s="54"/>
    </row>
    <row r="82" spans="1:15" s="168" customFormat="1" x14ac:dyDescent="0.3">
      <c r="A82" s="72" t="s">
        <v>68</v>
      </c>
      <c r="B82" s="350">
        <f>IF($E82="Y1",'WindMonitoring_BATS-BETS'!B81,IF($E82="Y",Base!B78-Option1b!I82,IF($E82="N",0)))</f>
        <v>-2.2899999999999636</v>
      </c>
      <c r="C82" s="350">
        <f>IF($E82="Y1",'WindMonitoring_BATS-BETS'!C81,IF($E82="Y",Base!C78-Option1b!J82,IF($E82="N",0)))</f>
        <v>242.73000000000138</v>
      </c>
      <c r="D82" s="350">
        <f>IF($E82="Y1",'WindMonitoring_BATS-BETS'!D81,IF($E82="Y",Base!D78-Option1b!K82,IF($E82="N",0)))</f>
        <v>162.3141599999999</v>
      </c>
      <c r="E82" s="159" t="str">
        <f t="shared" si="16"/>
        <v>Y1</v>
      </c>
      <c r="F82" s="52">
        <f t="shared" si="17"/>
        <v>10055.362211999995</v>
      </c>
      <c r="H82" s="72" t="s">
        <v>68</v>
      </c>
      <c r="I82" s="40">
        <v>927.68</v>
      </c>
      <c r="J82" s="40">
        <v>9615.9499999999989</v>
      </c>
      <c r="K82" s="40">
        <v>7713.3295999999991</v>
      </c>
      <c r="L82" s="40">
        <f t="shared" si="15"/>
        <v>477840.76871999999</v>
      </c>
      <c r="N82" s="45"/>
      <c r="O82" s="54"/>
    </row>
    <row r="83" spans="1:15" s="168" customFormat="1" x14ac:dyDescent="0.3">
      <c r="A83" s="72" t="s">
        <v>69</v>
      </c>
      <c r="B83" s="350">
        <f>IF($E83="Y1",'WindMonitoring_BATS-BETS'!B82,IF($E83="Y",Base!B79-Option1b!I83,IF($E83="N",0)))</f>
        <v>-25.430000000000064</v>
      </c>
      <c r="C83" s="350">
        <f>IF($E83="Y1",'WindMonitoring_BATS-BETS'!C82,IF($E83="Y",Base!C79-Option1b!J83,IF($E83="N",0)))</f>
        <v>245.03000000000065</v>
      </c>
      <c r="D83" s="350">
        <f>IF($E83="Y1",'WindMonitoring_BATS-BETS'!D82,IF($E83="Y",Base!D79-Option1b!K83,IF($E83="N",0)))</f>
        <v>241.13936000000103</v>
      </c>
      <c r="E83" s="159" t="str">
        <f t="shared" si="16"/>
        <v>Y1</v>
      </c>
      <c r="F83" s="52">
        <f t="shared" si="17"/>
        <v>14938.583352000065</v>
      </c>
      <c r="H83" s="72" t="s">
        <v>69</v>
      </c>
      <c r="I83" s="40">
        <v>981.30000000000007</v>
      </c>
      <c r="J83" s="40">
        <v>10010.86</v>
      </c>
      <c r="K83" s="40">
        <v>7970.9884000000002</v>
      </c>
      <c r="L83" s="40">
        <f t="shared" si="15"/>
        <v>493802.73138000001</v>
      </c>
      <c r="N83" s="39"/>
      <c r="O83" s="39"/>
    </row>
    <row r="84" spans="1:15" s="168" customFormat="1" x14ac:dyDescent="0.3">
      <c r="A84" s="72" t="s">
        <v>70</v>
      </c>
      <c r="B84" s="385">
        <f>IF($E84="Y1",'WindMonitoring_BATS-BETS'!B83,IF($E84="Y",Base!B80-Option1b!I84,IF($E84="N",0)))</f>
        <v>142.40999999999997</v>
      </c>
      <c r="C84" s="385">
        <f>IF($E84="Y1",'WindMonitoring_BATS-BETS'!C83,IF($E84="Y",Base!C80-Option1b!J84,IF($E84="N",0)))</f>
        <v>1842.3399999999965</v>
      </c>
      <c r="D84" s="385">
        <f>IF($E84="Y1",'WindMonitoring_BATS-BETS'!D83,IF($E84="Y",Base!D80-Option1b!K84,IF($E84="N",0)))</f>
        <v>1155.1374399999986</v>
      </c>
      <c r="E84" s="159" t="str">
        <f t="shared" si="16"/>
        <v>Y</v>
      </c>
      <c r="F84" s="52">
        <f t="shared" si="17"/>
        <v>71560.764407999915</v>
      </c>
      <c r="H84" s="72" t="s">
        <v>70</v>
      </c>
      <c r="I84" s="40">
        <v>982.2399999999999</v>
      </c>
      <c r="J84" s="40">
        <v>10256.200000000001</v>
      </c>
      <c r="K84" s="40">
        <v>8065.5887199999997</v>
      </c>
      <c r="L84" s="40">
        <f t="shared" si="15"/>
        <v>499663.221204</v>
      </c>
      <c r="N84" s="39"/>
      <c r="O84" s="39"/>
    </row>
    <row r="85" spans="1:15" s="168" customFormat="1" x14ac:dyDescent="0.3">
      <c r="A85" s="72" t="s">
        <v>71</v>
      </c>
      <c r="B85" s="385">
        <f>IF($E85="Y1",'WindMonitoring_BATS-BETS'!B84,IF($E85="Y",Base!B81-Option1b!I85,IF($E85="N",0)))</f>
        <v>297.95000000000005</v>
      </c>
      <c r="C85" s="385">
        <f>IF($E85="Y1",'WindMonitoring_BATS-BETS'!C84,IF($E85="Y",Base!C81-Option1b!J85,IF($E85="N",0)))</f>
        <v>2051.4900000000034</v>
      </c>
      <c r="D85" s="385">
        <f>IF($E85="Y1",'WindMonitoring_BATS-BETS'!D84,IF($E85="Y",Base!D81-Option1b!K85,IF($E85="N",0)))</f>
        <v>1261.2446400000026</v>
      </c>
      <c r="E85" s="159" t="str">
        <f t="shared" si="16"/>
        <v>Y</v>
      </c>
      <c r="F85" s="52">
        <f t="shared" si="17"/>
        <v>78134.105448000162</v>
      </c>
      <c r="H85" s="72" t="s">
        <v>71</v>
      </c>
      <c r="I85" s="40">
        <v>1005.03</v>
      </c>
      <c r="J85" s="40">
        <v>10670.58</v>
      </c>
      <c r="K85" s="40">
        <v>8231.0791199999985</v>
      </c>
      <c r="L85" s="40">
        <f t="shared" si="15"/>
        <v>509915.35148399993</v>
      </c>
      <c r="N85" s="39"/>
      <c r="O85" s="39"/>
    </row>
    <row r="86" spans="1:15" s="168" customFormat="1" x14ac:dyDescent="0.3">
      <c r="A86" s="72" t="s">
        <v>72</v>
      </c>
      <c r="B86" s="385">
        <f>IF($E86="Y1",'WindMonitoring_BATS-BETS'!B85,IF($E86="Y",Base!B82-Option1b!I86,IF($E86="N",0)))</f>
        <v>229.54000000000019</v>
      </c>
      <c r="C86" s="385">
        <f>IF($E86="Y1",'WindMonitoring_BATS-BETS'!C85,IF($E86="Y",Base!C82-Option1b!J86,IF($E86="N",0)))</f>
        <v>2189.8299999999981</v>
      </c>
      <c r="D86" s="385">
        <f>IF($E86="Y1",'WindMonitoring_BATS-BETS'!D85,IF($E86="Y",Base!D82-Option1b!K86,IF($E86="N",0)))</f>
        <v>1348.9367199999997</v>
      </c>
      <c r="E86" s="159" t="str">
        <f t="shared" si="16"/>
        <v>Y</v>
      </c>
      <c r="F86" s="52">
        <f t="shared" si="17"/>
        <v>83566.629803999982</v>
      </c>
      <c r="H86" s="72" t="s">
        <v>72</v>
      </c>
      <c r="I86" s="40">
        <v>980.93000000000006</v>
      </c>
      <c r="J86" s="40">
        <v>11127.800000000001</v>
      </c>
      <c r="K86" s="40">
        <v>8447.0376799999995</v>
      </c>
      <c r="L86" s="40">
        <f t="shared" si="15"/>
        <v>523293.984276</v>
      </c>
    </row>
    <row r="87" spans="1:15" s="168" customFormat="1" x14ac:dyDescent="0.3">
      <c r="A87" s="72" t="s">
        <v>73</v>
      </c>
      <c r="B87" s="385">
        <f>IF($E87="Y1",'WindMonitoring_BATS-BETS'!B86,IF($E87="Y",Base!B83-Option1b!I87,IF($E87="N",0)))</f>
        <v>330.26999999999975</v>
      </c>
      <c r="C87" s="385">
        <f>IF($E87="Y1",'WindMonitoring_BATS-BETS'!C86,IF($E87="Y",Base!C83-Option1b!J87,IF($E87="N",0)))</f>
        <v>2787.2299999999996</v>
      </c>
      <c r="D87" s="385">
        <f>IF($E87="Y1",'WindMonitoring_BATS-BETS'!D86,IF($E87="Y",Base!D83-Option1b!K87,IF($E87="N",0)))</f>
        <v>1694.3359999999993</v>
      </c>
      <c r="E87" s="159" t="str">
        <f t="shared" si="16"/>
        <v>Y</v>
      </c>
      <c r="F87" s="52">
        <f t="shared" si="17"/>
        <v>104964.11519999996</v>
      </c>
      <c r="H87" s="72" t="s">
        <v>73</v>
      </c>
      <c r="I87" s="40">
        <v>1073.45</v>
      </c>
      <c r="J87" s="40">
        <v>12153.079999999998</v>
      </c>
      <c r="K87" s="40">
        <v>8808.3754399999998</v>
      </c>
      <c r="L87" s="40">
        <f t="shared" si="15"/>
        <v>545678.85850800003</v>
      </c>
    </row>
    <row r="88" spans="1:15" s="168" customFormat="1" ht="15" thickBot="1" x14ac:dyDescent="0.35">
      <c r="E88" s="60">
        <f>SUM(COUNTIF(E78:E87,{"Y","Y1","Y2"}))</f>
        <v>8</v>
      </c>
      <c r="F88" s="62">
        <f>-PV($G$6,$G$7-E88,F87)</f>
        <v>999927.58513513068</v>
      </c>
      <c r="G88" s="55" t="s">
        <v>11</v>
      </c>
    </row>
    <row r="89" spans="1:15" s="168" customFormat="1" ht="15" thickTop="1" x14ac:dyDescent="0.3"/>
    <row r="90" spans="1:15" s="168" customFormat="1" ht="15.6" x14ac:dyDescent="0.3">
      <c r="A90" s="409" t="s">
        <v>53</v>
      </c>
      <c r="B90" s="410"/>
      <c r="C90" s="410"/>
      <c r="D90" s="410"/>
      <c r="E90" s="410"/>
      <c r="F90" s="411"/>
      <c r="H90" s="406" t="s">
        <v>63</v>
      </c>
      <c r="I90" s="406"/>
      <c r="J90" s="406"/>
      <c r="K90" s="406"/>
      <c r="L90" s="406"/>
    </row>
    <row r="91" spans="1:15" s="168" customFormat="1" ht="57.6" x14ac:dyDescent="0.3">
      <c r="A91" s="158" t="s">
        <v>5</v>
      </c>
      <c r="B91" s="51" t="s">
        <v>151</v>
      </c>
      <c r="C91" s="51" t="s">
        <v>152</v>
      </c>
      <c r="D91" s="51" t="s">
        <v>153</v>
      </c>
      <c r="E91" s="51" t="s">
        <v>12</v>
      </c>
      <c r="F91" s="51" t="s">
        <v>134</v>
      </c>
      <c r="H91" s="158" t="s">
        <v>5</v>
      </c>
      <c r="I91" s="51" t="s">
        <v>75</v>
      </c>
      <c r="J91" s="51" t="s">
        <v>51</v>
      </c>
      <c r="K91" s="50" t="s">
        <v>0</v>
      </c>
      <c r="L91" s="51" t="s">
        <v>58</v>
      </c>
    </row>
    <row r="92" spans="1:15" s="168" customFormat="1" x14ac:dyDescent="0.3">
      <c r="A92" s="72" t="s">
        <v>64</v>
      </c>
      <c r="B92" s="385">
        <f>IF($E92="Y1",'WindMonitoring_BATS-BETS'!B91,IF($E92="Y",Base!B88-Option1b!I92,IF($E92="N",0)))</f>
        <v>0</v>
      </c>
      <c r="C92" s="385">
        <f>IF($E92="Y1",'WindMonitoring_BATS-BETS'!C91,IF($E92="Y",Base!C88-Option1b!J92,IF($E92="N",0)))</f>
        <v>0</v>
      </c>
      <c r="D92" s="385">
        <f>IF($E92="Y1",'WindMonitoring_BATS-BETS'!D91,IF($E92="Y",Base!D88-Option1b!K92,IF($E92="N",0)))</f>
        <v>0</v>
      </c>
      <c r="E92" s="159" t="str">
        <f>E36</f>
        <v>N</v>
      </c>
      <c r="F92" s="52">
        <f>IF(OR(E92="Y",E92="Y1",E92="Y2"),D92*$G$5,0)</f>
        <v>0</v>
      </c>
      <c r="H92" s="72" t="s">
        <v>64</v>
      </c>
      <c r="I92" s="40">
        <v>552.92999999999995</v>
      </c>
      <c r="J92" s="40">
        <v>8766.4100000000017</v>
      </c>
      <c r="K92" s="40">
        <v>7323.46976</v>
      </c>
      <c r="L92" s="40">
        <f t="shared" ref="L92:L101" si="18">K92*$G$5</f>
        <v>453688.95163200004</v>
      </c>
    </row>
    <row r="93" spans="1:15" s="168" customFormat="1" x14ac:dyDescent="0.3">
      <c r="A93" s="72" t="s">
        <v>65</v>
      </c>
      <c r="B93" s="385">
        <f>IF($E93="Y1",'WindMonitoring_BATS-BETS'!B92,IF($E93="Y",Base!B89-Option1b!I93,IF($E93="N",0)))</f>
        <v>0</v>
      </c>
      <c r="C93" s="385">
        <f>IF($E93="Y1",'WindMonitoring_BATS-BETS'!C92,IF($E93="Y",Base!C89-Option1b!J93,IF($E93="N",0)))</f>
        <v>0</v>
      </c>
      <c r="D93" s="385">
        <f>IF($E93="Y1",'WindMonitoring_BATS-BETS'!D92,IF($E93="Y",Base!D89-Option1b!K93,IF($E93="N",0)))</f>
        <v>0</v>
      </c>
      <c r="E93" s="159" t="str">
        <f t="shared" ref="E93:E101" si="19">E37</f>
        <v>N</v>
      </c>
      <c r="F93" s="52">
        <f>IF(OR(E93="Y",E93="Y1",E93="Y2"),D93*$G$5,0)</f>
        <v>0</v>
      </c>
      <c r="H93" s="72" t="s">
        <v>65</v>
      </c>
      <c r="I93" s="40">
        <v>581.27</v>
      </c>
      <c r="J93" s="40">
        <v>8883.41</v>
      </c>
      <c r="K93" s="40">
        <v>7313.4427999999989</v>
      </c>
      <c r="L93" s="40">
        <f t="shared" si="18"/>
        <v>453067.78145999997</v>
      </c>
    </row>
    <row r="94" spans="1:15" s="168" customFormat="1" x14ac:dyDescent="0.3">
      <c r="A94" s="72" t="s">
        <v>66</v>
      </c>
      <c r="B94" s="350">
        <f>IF($E94="Y1",'WindMonitoring_BATS-BETS'!B93,IF($E94="Y",Base!B90-Option1b!I94,IF($E94="N",0)))</f>
        <v>4.1400000000001</v>
      </c>
      <c r="C94" s="350">
        <f>IF($E94="Y1",'WindMonitoring_BATS-BETS'!C93,IF($E94="Y",Base!C90-Option1b!J94,IF($E94="N",0)))</f>
        <v>235.40999999999985</v>
      </c>
      <c r="D94" s="350">
        <f>IF($E94="Y1",'WindMonitoring_BATS-BETS'!D93,IF($E94="Y",Base!D90-Option1b!K94,IF($E94="N",0)))</f>
        <v>221.57352000000083</v>
      </c>
      <c r="E94" s="159" t="str">
        <f t="shared" si="19"/>
        <v>Y1</v>
      </c>
      <c r="F94" s="52">
        <f t="shared" ref="F94:F101" si="20">IF(OR(E94="Y",E94="Y1",E94="Y2"),D94*$G$5,0)</f>
        <v>13726.479564000052</v>
      </c>
      <c r="H94" s="72" t="s">
        <v>66</v>
      </c>
      <c r="I94" s="40">
        <v>641.08000000000004</v>
      </c>
      <c r="J94" s="40">
        <v>9262.0400000000009</v>
      </c>
      <c r="K94" s="40">
        <v>7540.5327200000002</v>
      </c>
      <c r="L94" s="40">
        <f t="shared" si="18"/>
        <v>467136.00200400001</v>
      </c>
    </row>
    <row r="95" spans="1:15" s="168" customFormat="1" x14ac:dyDescent="0.3">
      <c r="A95" s="72" t="s">
        <v>67</v>
      </c>
      <c r="B95" s="350">
        <f>IF($E95="Y1",'WindMonitoring_BATS-BETS'!B94,IF($E95="Y",Base!B91-Option1b!I95,IF($E95="N",0)))</f>
        <v>32.919999999999959</v>
      </c>
      <c r="C95" s="350">
        <f>IF($E95="Y1",'WindMonitoring_BATS-BETS'!C94,IF($E95="Y",Base!C91-Option1b!J95,IF($E95="N",0)))</f>
        <v>276.59000000000015</v>
      </c>
      <c r="D95" s="350">
        <f>IF($E95="Y1",'WindMonitoring_BATS-BETS'!D94,IF($E95="Y",Base!D91-Option1b!K95,IF($E95="N",0)))</f>
        <v>229.70048000000043</v>
      </c>
      <c r="E95" s="159" t="str">
        <f t="shared" si="19"/>
        <v>Y1</v>
      </c>
      <c r="F95" s="52">
        <f t="shared" si="20"/>
        <v>14229.944736000027</v>
      </c>
      <c r="H95" s="72" t="s">
        <v>67</v>
      </c>
      <c r="I95" s="40">
        <v>689.35</v>
      </c>
      <c r="J95" s="40">
        <v>9453.1200000000008</v>
      </c>
      <c r="K95" s="40">
        <v>7582.7870400000002</v>
      </c>
      <c r="L95" s="40">
        <f t="shared" si="18"/>
        <v>469753.65712800005</v>
      </c>
    </row>
    <row r="96" spans="1:15" s="168" customFormat="1" x14ac:dyDescent="0.3">
      <c r="A96" s="72" t="s">
        <v>68</v>
      </c>
      <c r="B96" s="350">
        <f>IF($E96="Y1",'WindMonitoring_BATS-BETS'!B95,IF($E96="Y",Base!B92-Option1b!I96,IF($E96="N",0)))</f>
        <v>47.239999999999895</v>
      </c>
      <c r="C96" s="350">
        <f>IF($E96="Y1",'WindMonitoring_BATS-BETS'!C95,IF($E96="Y",Base!C92-Option1b!J96,IF($E96="N",0)))</f>
        <v>268.98999999999978</v>
      </c>
      <c r="D96" s="350">
        <f>IF($E96="Y1",'WindMonitoring_BATS-BETS'!D95,IF($E96="Y",Base!D92-Option1b!K96,IF($E96="N",0)))</f>
        <v>281.58759999999893</v>
      </c>
      <c r="E96" s="159" t="str">
        <f t="shared" si="19"/>
        <v>Y1</v>
      </c>
      <c r="F96" s="52">
        <f t="shared" si="20"/>
        <v>17444.351819999934</v>
      </c>
      <c r="H96" s="72" t="s">
        <v>68</v>
      </c>
      <c r="I96" s="40">
        <v>775.72</v>
      </c>
      <c r="J96" s="40">
        <v>9762.83</v>
      </c>
      <c r="K96" s="40">
        <v>7655.9127199999994</v>
      </c>
      <c r="L96" s="40">
        <f t="shared" si="18"/>
        <v>474283.79300399998</v>
      </c>
    </row>
    <row r="97" spans="1:12" s="168" customFormat="1" x14ac:dyDescent="0.3">
      <c r="A97" s="72" t="s">
        <v>69</v>
      </c>
      <c r="B97" s="350">
        <f>IF($E97="Y1",'WindMonitoring_BATS-BETS'!B96,IF($E97="Y",Base!B93-Option1b!I97,IF($E97="N",0)))</f>
        <v>40.6400000000001</v>
      </c>
      <c r="C97" s="350">
        <f>IF($E97="Y1",'WindMonitoring_BATS-BETS'!C96,IF($E97="Y",Base!C93-Option1b!J97,IF($E97="N",0)))</f>
        <v>289.88999999999942</v>
      </c>
      <c r="D97" s="350">
        <f>IF($E97="Y1",'WindMonitoring_BATS-BETS'!D96,IF($E97="Y",Base!D93-Option1b!K97,IF($E97="N",0)))</f>
        <v>249.54288000000088</v>
      </c>
      <c r="E97" s="159" t="str">
        <f t="shared" si="19"/>
        <v>Y1</v>
      </c>
      <c r="F97" s="52">
        <f t="shared" si="20"/>
        <v>15459.181416000056</v>
      </c>
      <c r="H97" s="72" t="s">
        <v>69</v>
      </c>
      <c r="I97" s="40">
        <v>874.64</v>
      </c>
      <c r="J97" s="40">
        <v>10426.390000000001</v>
      </c>
      <c r="K97" s="40">
        <v>7973.4980800000012</v>
      </c>
      <c r="L97" s="40">
        <f t="shared" si="18"/>
        <v>493958.20605600008</v>
      </c>
    </row>
    <row r="98" spans="1:12" s="168" customFormat="1" x14ac:dyDescent="0.3">
      <c r="A98" s="72" t="s">
        <v>70</v>
      </c>
      <c r="B98" s="385">
        <f>IF($E98="Y1",'WindMonitoring_BATS-BETS'!B97,IF($E98="Y",Base!B94-Option1b!I98,IF($E98="N",0)))</f>
        <v>139.94000000000028</v>
      </c>
      <c r="C98" s="385">
        <f>IF($E98="Y1",'WindMonitoring_BATS-BETS'!C97,IF($E98="Y",Base!C94-Option1b!J98,IF($E98="N",0)))</f>
        <v>709.5099999999984</v>
      </c>
      <c r="D98" s="385">
        <f>IF($E98="Y1",'WindMonitoring_BATS-BETS'!D97,IF($E98="Y",Base!D94-Option1b!K98,IF($E98="N",0)))</f>
        <v>528.45952000000034</v>
      </c>
      <c r="E98" s="159" t="str">
        <f t="shared" si="19"/>
        <v>Y</v>
      </c>
      <c r="F98" s="52">
        <f t="shared" si="20"/>
        <v>32738.067264000023</v>
      </c>
      <c r="H98" s="72" t="s">
        <v>70</v>
      </c>
      <c r="I98" s="40">
        <v>932.93999999999983</v>
      </c>
      <c r="J98" s="40">
        <v>11571.67</v>
      </c>
      <c r="K98" s="40">
        <v>8474.2055199999995</v>
      </c>
      <c r="L98" s="40">
        <f t="shared" si="18"/>
        <v>524977.03196399997</v>
      </c>
    </row>
    <row r="99" spans="1:12" s="168" customFormat="1" x14ac:dyDescent="0.3">
      <c r="A99" s="72" t="s">
        <v>71</v>
      </c>
      <c r="B99" s="385">
        <f>IF($E99="Y1",'WindMonitoring_BATS-BETS'!B98,IF($E99="Y",Base!B95-Option1b!I99,IF($E99="N",0)))</f>
        <v>143.18000000000029</v>
      </c>
      <c r="C99" s="385">
        <f>IF($E99="Y1",'WindMonitoring_BATS-BETS'!C98,IF($E99="Y",Base!C95-Option1b!J99,IF($E99="N",0)))</f>
        <v>809.78999999999905</v>
      </c>
      <c r="D99" s="385">
        <f>IF($E99="Y1",'WindMonitoring_BATS-BETS'!D98,IF($E99="Y",Base!D95-Option1b!K99,IF($E99="N",0)))</f>
        <v>593.80032000000028</v>
      </c>
      <c r="E99" s="159" t="str">
        <f t="shared" si="19"/>
        <v>Y</v>
      </c>
      <c r="F99" s="52">
        <f t="shared" si="20"/>
        <v>36785.929824000021</v>
      </c>
      <c r="H99" s="72" t="s">
        <v>71</v>
      </c>
      <c r="I99" s="40">
        <v>975.25</v>
      </c>
      <c r="J99" s="40">
        <v>12840.49</v>
      </c>
      <c r="K99" s="40">
        <v>8923.6525599999986</v>
      </c>
      <c r="L99" s="40">
        <f t="shared" si="18"/>
        <v>552820.27609199996</v>
      </c>
    </row>
    <row r="100" spans="1:12" s="168" customFormat="1" x14ac:dyDescent="0.3">
      <c r="A100" s="72" t="s">
        <v>72</v>
      </c>
      <c r="B100" s="385">
        <f>IF($E100="Y1",'WindMonitoring_BATS-BETS'!B99,IF($E100="Y",Base!B96-Option1b!I100,IF($E100="N",0)))</f>
        <v>99.229999999999677</v>
      </c>
      <c r="C100" s="385">
        <f>IF($E100="Y1",'WindMonitoring_BATS-BETS'!C99,IF($E100="Y",Base!C96-Option1b!J100,IF($E100="N",0)))</f>
        <v>518.97000000000116</v>
      </c>
      <c r="D100" s="385">
        <f>IF($E100="Y1",'WindMonitoring_BATS-BETS'!D99,IF($E100="Y",Base!D96-Option1b!K100,IF($E100="N",0)))</f>
        <v>370.05384000000049</v>
      </c>
      <c r="E100" s="159" t="str">
        <f t="shared" si="19"/>
        <v>Y</v>
      </c>
      <c r="F100" s="52">
        <f t="shared" si="20"/>
        <v>22924.835388000032</v>
      </c>
      <c r="H100" s="72" t="s">
        <v>72</v>
      </c>
      <c r="I100" s="40">
        <v>972.46000000000015</v>
      </c>
      <c r="J100" s="40">
        <v>14319.25</v>
      </c>
      <c r="K100" s="40">
        <v>9391.5630399999973</v>
      </c>
      <c r="L100" s="40">
        <f t="shared" si="18"/>
        <v>581807.33032799989</v>
      </c>
    </row>
    <row r="101" spans="1:12" s="168" customFormat="1" x14ac:dyDescent="0.3">
      <c r="A101" s="72" t="s">
        <v>73</v>
      </c>
      <c r="B101" s="385">
        <f>IF($E101="Y1",'WindMonitoring_BATS-BETS'!B100,IF($E101="Y",Base!B97-Option1b!I101,IF($E101="N",0)))</f>
        <v>106.19999999999982</v>
      </c>
      <c r="C101" s="385">
        <f>IF($E101="Y1",'WindMonitoring_BATS-BETS'!C100,IF($E101="Y",Base!C97-Option1b!J101,IF($E101="N",0)))</f>
        <v>635.40000000000146</v>
      </c>
      <c r="D101" s="385">
        <f>IF($E101="Y1",'WindMonitoring_BATS-BETS'!D100,IF($E101="Y",Base!D97-Option1b!K101,IF($E101="N",0)))</f>
        <v>417.55896000000212</v>
      </c>
      <c r="E101" s="159" t="str">
        <f t="shared" si="19"/>
        <v>Y</v>
      </c>
      <c r="F101" s="52">
        <f t="shared" si="20"/>
        <v>25867.777572000134</v>
      </c>
      <c r="H101" s="72" t="s">
        <v>73</v>
      </c>
      <c r="I101" s="40">
        <v>1076.52</v>
      </c>
      <c r="J101" s="40">
        <v>16574.489999999998</v>
      </c>
      <c r="K101" s="40">
        <v>10280.478479999998</v>
      </c>
      <c r="L101" s="40">
        <f t="shared" si="18"/>
        <v>636875.64183599991</v>
      </c>
    </row>
    <row r="102" spans="1:12" s="168" customFormat="1" ht="15" thickBot="1" x14ac:dyDescent="0.35">
      <c r="E102" s="60">
        <f>SUM(COUNTIF(E92:E101,{"Y","Y1","Y2"}))</f>
        <v>8</v>
      </c>
      <c r="F102" s="62">
        <f>-PV($G$6,$G$7-E102,F101)</f>
        <v>246426.16489547468</v>
      </c>
      <c r="G102" s="55" t="s">
        <v>11</v>
      </c>
    </row>
    <row r="103" spans="1:12" ht="15" thickTop="1" x14ac:dyDescent="0.3"/>
    <row r="104" spans="1:12" x14ac:dyDescent="0.3">
      <c r="A104" s="363" t="s">
        <v>121</v>
      </c>
      <c r="B104" s="357"/>
      <c r="C104" s="357"/>
      <c r="D104" s="357"/>
      <c r="E104" s="357"/>
    </row>
    <row r="105" spans="1:12" x14ac:dyDescent="0.3">
      <c r="A105" s="408" t="s">
        <v>5</v>
      </c>
      <c r="B105" s="72" t="s">
        <v>3</v>
      </c>
      <c r="C105" s="344">
        <f>NPV_Summary!$F$35*Option1a!$G$5+Option1a!$G$5</f>
        <v>74.34</v>
      </c>
      <c r="D105" s="26">
        <f>NPV_Summary!$G$35*Option1a!$G$5+Option1a!$G$5</f>
        <v>49.56</v>
      </c>
      <c r="E105" s="357"/>
    </row>
    <row r="106" spans="1:12" ht="43.2" x14ac:dyDescent="0.3">
      <c r="A106" s="408"/>
      <c r="B106" s="51" t="s">
        <v>12</v>
      </c>
      <c r="C106" s="50" t="s">
        <v>25</v>
      </c>
      <c r="D106" s="50" t="s">
        <v>25</v>
      </c>
      <c r="E106" s="357"/>
    </row>
    <row r="107" spans="1:12" x14ac:dyDescent="0.3">
      <c r="A107" s="362" t="s">
        <v>64</v>
      </c>
      <c r="B107" s="3" t="str">
        <f>H17</f>
        <v>N</v>
      </c>
      <c r="C107" s="5">
        <f>IF(OR(B107="Y",B107="Y1",B107="Y2"),D17*$C$105/1000,0)</f>
        <v>0</v>
      </c>
      <c r="D107" s="5">
        <f>IF(OR(B107="Y",B107="Y1",B107="Y2"),D17*$D$105/1000,0)</f>
        <v>0</v>
      </c>
      <c r="E107" s="357"/>
    </row>
    <row r="108" spans="1:12" x14ac:dyDescent="0.3">
      <c r="A108" s="362" t="s">
        <v>65</v>
      </c>
      <c r="B108" s="3" t="str">
        <f t="shared" ref="B108:B116" si="21">H18</f>
        <v>N</v>
      </c>
      <c r="C108" s="5">
        <f t="shared" ref="C108:C116" si="22">IF(OR(B108="Y",B108="Y1",B108="Y2"),D18*$C$105/1000,0)</f>
        <v>0</v>
      </c>
      <c r="D108" s="5">
        <f t="shared" ref="D108:D116" si="23">IF(OR(B108="Y",B108="Y1",B108="Y2"),D18*$D$105/1000,0)</f>
        <v>0</v>
      </c>
      <c r="E108" s="357"/>
    </row>
    <row r="109" spans="1:12" x14ac:dyDescent="0.3">
      <c r="A109" s="362" t="s">
        <v>66</v>
      </c>
      <c r="B109" s="3" t="str">
        <f t="shared" si="21"/>
        <v>Y1</v>
      </c>
      <c r="C109" s="5">
        <f t="shared" si="22"/>
        <v>8.0252170991999883</v>
      </c>
      <c r="D109" s="5">
        <f t="shared" si="23"/>
        <v>5.3501447327999916</v>
      </c>
      <c r="E109" s="357"/>
    </row>
    <row r="110" spans="1:12" x14ac:dyDescent="0.3">
      <c r="A110" s="362" t="s">
        <v>67</v>
      </c>
      <c r="B110" s="3" t="str">
        <f t="shared" si="21"/>
        <v>Y1</v>
      </c>
      <c r="C110" s="5">
        <f t="shared" si="22"/>
        <v>11.671206341760033</v>
      </c>
      <c r="D110" s="5">
        <f t="shared" si="23"/>
        <v>7.7808042278400222</v>
      </c>
      <c r="E110" s="357"/>
    </row>
    <row r="111" spans="1:12" x14ac:dyDescent="0.3">
      <c r="A111" s="362" t="s">
        <v>68</v>
      </c>
      <c r="B111" s="3" t="str">
        <f t="shared" si="21"/>
        <v>Y1</v>
      </c>
      <c r="C111" s="5">
        <f t="shared" si="22"/>
        <v>13.58342739935995</v>
      </c>
      <c r="D111" s="5">
        <f t="shared" si="23"/>
        <v>9.055618266239966</v>
      </c>
      <c r="E111" s="357"/>
    </row>
    <row r="112" spans="1:12" x14ac:dyDescent="0.3">
      <c r="A112" s="362" t="s">
        <v>69</v>
      </c>
      <c r="B112" s="3" t="str">
        <f t="shared" si="21"/>
        <v>Y1</v>
      </c>
      <c r="C112" s="5">
        <f t="shared" si="22"/>
        <v>17.595736804799976</v>
      </c>
      <c r="D112" s="5">
        <f t="shared" si="23"/>
        <v>11.730491203199986</v>
      </c>
      <c r="E112" s="357"/>
    </row>
    <row r="113" spans="1:5" x14ac:dyDescent="0.3">
      <c r="A113" s="362" t="s">
        <v>70</v>
      </c>
      <c r="B113" s="3" t="str">
        <f t="shared" si="21"/>
        <v>Y</v>
      </c>
      <c r="C113" s="5">
        <f t="shared" si="22"/>
        <v>70.746055894079959</v>
      </c>
      <c r="D113" s="5">
        <f t="shared" si="23"/>
        <v>47.164037262719972</v>
      </c>
      <c r="E113" s="357"/>
    </row>
    <row r="114" spans="1:5" x14ac:dyDescent="0.3">
      <c r="A114" s="362" t="s">
        <v>71</v>
      </c>
      <c r="B114" s="3" t="str">
        <f t="shared" si="21"/>
        <v>Y</v>
      </c>
      <c r="C114" s="5">
        <f t="shared" si="22"/>
        <v>78.937701816960015</v>
      </c>
      <c r="D114" s="5">
        <f t="shared" si="23"/>
        <v>52.625134544640005</v>
      </c>
      <c r="E114" s="357"/>
    </row>
    <row r="115" spans="1:5" x14ac:dyDescent="0.3">
      <c r="A115" s="362" t="s">
        <v>72</v>
      </c>
      <c r="B115" s="3" t="str">
        <f t="shared" si="21"/>
        <v>Y</v>
      </c>
      <c r="C115" s="5">
        <f t="shared" si="22"/>
        <v>73.865702473919981</v>
      </c>
      <c r="D115" s="5">
        <f t="shared" si="23"/>
        <v>49.243801649279995</v>
      </c>
      <c r="E115" s="357"/>
    </row>
    <row r="116" spans="1:5" x14ac:dyDescent="0.3">
      <c r="A116" s="362" t="s">
        <v>73</v>
      </c>
      <c r="B116" s="3" t="str">
        <f t="shared" si="21"/>
        <v>Y</v>
      </c>
      <c r="C116" s="5">
        <f t="shared" si="22"/>
        <v>91.957511882880084</v>
      </c>
      <c r="D116" s="5">
        <f t="shared" si="23"/>
        <v>61.305007921920058</v>
      </c>
      <c r="E116" s="357"/>
    </row>
    <row r="117" spans="1:5" x14ac:dyDescent="0.3">
      <c r="A117" s="357"/>
      <c r="B117" s="39">
        <f>SUM(COUNTIF(B107:B116,{"Y","Y1","Y2"}))</f>
        <v>8</v>
      </c>
      <c r="C117" s="47">
        <f>-PV($G$6,$G$7-B117,C116)</f>
        <v>876.02179675290984</v>
      </c>
      <c r="D117" s="47">
        <f>-PV($G$6,$G$7-B117,D116)</f>
        <v>584.01453116860648</v>
      </c>
      <c r="E117" s="357" t="s">
        <v>11</v>
      </c>
    </row>
    <row r="118" spans="1:5" ht="15" thickBot="1" x14ac:dyDescent="0.35">
      <c r="A118" s="357"/>
      <c r="B118" s="357"/>
      <c r="C118" s="13">
        <f>NPV($G$6,C107:C115,C116+C117)</f>
        <v>510.02075841675116</v>
      </c>
      <c r="D118" s="13">
        <f>NPV($G$6,D107:D115,D116+D117)</f>
        <v>340.01383894450072</v>
      </c>
      <c r="E118" s="357" t="s">
        <v>23</v>
      </c>
    </row>
    <row r="119" spans="1:5" ht="15" thickTop="1" x14ac:dyDescent="0.3"/>
  </sheetData>
  <mergeCells count="12">
    <mergeCell ref="A105:A106"/>
    <mergeCell ref="A15:I15"/>
    <mergeCell ref="A34:F34"/>
    <mergeCell ref="H34:L34"/>
    <mergeCell ref="A48:F48"/>
    <mergeCell ref="H48:L48"/>
    <mergeCell ref="A62:F62"/>
    <mergeCell ref="H62:L62"/>
    <mergeCell ref="A76:F76"/>
    <mergeCell ref="H76:L76"/>
    <mergeCell ref="A90:F90"/>
    <mergeCell ref="H90:L90"/>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zoomScale="55" zoomScaleNormal="55" workbookViewId="0">
      <selection activeCell="A12" sqref="A12"/>
    </sheetView>
  </sheetViews>
  <sheetFormatPr defaultRowHeight="14.4" x14ac:dyDescent="0.3"/>
  <cols>
    <col min="1" max="1" width="38.77734375" style="177" customWidth="1"/>
    <col min="2" max="12" width="15.77734375" style="177" customWidth="1"/>
    <col min="13" max="17" width="10.77734375" style="177" customWidth="1"/>
    <col min="18" max="16384" width="8.88671875" style="177"/>
  </cols>
  <sheetData>
    <row r="1" spans="1:18" x14ac:dyDescent="0.3">
      <c r="A1" s="183" t="s">
        <v>81</v>
      </c>
    </row>
    <row r="2" spans="1:18" x14ac:dyDescent="0.3">
      <c r="A2" s="183" t="s">
        <v>84</v>
      </c>
    </row>
    <row r="3" spans="1:18" x14ac:dyDescent="0.3">
      <c r="A3" s="183" t="s">
        <v>89</v>
      </c>
    </row>
    <row r="5" spans="1:18" x14ac:dyDescent="0.3">
      <c r="A5" s="68" t="s">
        <v>31</v>
      </c>
      <c r="B5" s="69" t="s">
        <v>33</v>
      </c>
      <c r="C5" s="69" t="s">
        <v>34</v>
      </c>
      <c r="D5" s="69" t="s">
        <v>35</v>
      </c>
      <c r="F5" s="65" t="s">
        <v>3</v>
      </c>
      <c r="G5" s="184">
        <v>61.95</v>
      </c>
    </row>
    <row r="6" spans="1:18" x14ac:dyDescent="0.3">
      <c r="A6" s="189" t="s">
        <v>4</v>
      </c>
      <c r="B6" s="190">
        <v>77.2</v>
      </c>
      <c r="C6" s="190">
        <v>50.4</v>
      </c>
      <c r="D6" s="195"/>
      <c r="F6" s="66" t="s">
        <v>2</v>
      </c>
      <c r="G6" s="185">
        <v>0.1</v>
      </c>
    </row>
    <row r="7" spans="1:18" x14ac:dyDescent="0.3">
      <c r="A7" s="189" t="s">
        <v>36</v>
      </c>
      <c r="B7" s="191">
        <v>0.02</v>
      </c>
      <c r="C7" s="191">
        <v>0.02</v>
      </c>
      <c r="D7" s="31"/>
      <c r="F7" s="66" t="s">
        <v>1</v>
      </c>
      <c r="G7" s="186">
        <v>40</v>
      </c>
    </row>
    <row r="8" spans="1:18" x14ac:dyDescent="0.3">
      <c r="A8" s="189" t="s">
        <v>30</v>
      </c>
      <c r="B8" s="192">
        <f>-PV($G$6,$G$7,B6*B7)</f>
        <v>15.09885430933034</v>
      </c>
      <c r="C8" s="32">
        <f>-PV($G$6,$G$7,C6*C7)</f>
        <v>9.8572831242260257</v>
      </c>
      <c r="D8" s="32">
        <f>-PV($G$6,$G$7,D6*D7)</f>
        <v>0</v>
      </c>
      <c r="F8" s="66" t="s">
        <v>6</v>
      </c>
      <c r="G8" s="185">
        <v>0.2</v>
      </c>
    </row>
    <row r="9" spans="1:18" x14ac:dyDescent="0.3">
      <c r="A9" s="189" t="s">
        <v>32</v>
      </c>
      <c r="B9" s="192">
        <f>B6+B8</f>
        <v>92.298854309330338</v>
      </c>
      <c r="C9" s="32">
        <f>C6+C8</f>
        <v>60.257283124226021</v>
      </c>
      <c r="D9" s="32">
        <f>D6+D8</f>
        <v>0</v>
      </c>
      <c r="F9" s="66" t="s">
        <v>7</v>
      </c>
      <c r="G9" s="185">
        <v>0.2</v>
      </c>
    </row>
    <row r="10" spans="1:18" x14ac:dyDescent="0.3">
      <c r="A10" s="189" t="s">
        <v>15</v>
      </c>
      <c r="B10" s="192">
        <f>-PMT($G$6,$G$7,B9)</f>
        <v>9.4384267927893255</v>
      </c>
      <c r="C10" s="32">
        <f>-PMT($G$6,$G$7,C9)</f>
        <v>6.1618744864842219</v>
      </c>
      <c r="D10" s="32">
        <f>-PMT($G$6,$G$7,D9)</f>
        <v>0</v>
      </c>
      <c r="F10" s="66" t="s">
        <v>8</v>
      </c>
      <c r="G10" s="185">
        <v>0.2</v>
      </c>
    </row>
    <row r="11" spans="1:18" x14ac:dyDescent="0.3">
      <c r="B11" s="188"/>
      <c r="C11" s="188"/>
      <c r="D11" s="188"/>
      <c r="F11" s="66" t="s">
        <v>9</v>
      </c>
      <c r="G11" s="185">
        <v>0.2</v>
      </c>
    </row>
    <row r="12" spans="1:18" x14ac:dyDescent="0.3">
      <c r="A12" s="181" t="s">
        <v>28</v>
      </c>
      <c r="B12" s="193">
        <f>SUM(B9:D9)</f>
        <v>152.55613743355636</v>
      </c>
      <c r="C12" s="188"/>
      <c r="D12" s="188"/>
      <c r="F12" s="67" t="s">
        <v>10</v>
      </c>
      <c r="G12" s="187">
        <v>0.2</v>
      </c>
    </row>
    <row r="13" spans="1:18" x14ac:dyDescent="0.3">
      <c r="A13" s="182" t="s">
        <v>29</v>
      </c>
      <c r="B13" s="194">
        <f>-PMT($G$6,$G$7,B12)</f>
        <v>15.600301279273546</v>
      </c>
      <c r="C13" s="188"/>
      <c r="D13" s="188"/>
    </row>
    <row r="15" spans="1:18" ht="15.6" x14ac:dyDescent="0.3">
      <c r="A15" s="397" t="s">
        <v>57</v>
      </c>
      <c r="B15" s="397"/>
      <c r="C15" s="397"/>
      <c r="D15" s="397"/>
      <c r="E15" s="397"/>
      <c r="F15" s="397"/>
      <c r="G15" s="397"/>
      <c r="H15" s="397"/>
      <c r="I15" s="397"/>
      <c r="M15" s="380"/>
      <c r="N15" s="380"/>
      <c r="O15" s="380"/>
      <c r="P15" s="380"/>
      <c r="Q15" s="380"/>
      <c r="R15" s="196"/>
    </row>
    <row r="16" spans="1:18" s="188" customFormat="1" ht="75" customHeight="1" x14ac:dyDescent="0.3">
      <c r="A16" s="40" t="s">
        <v>5</v>
      </c>
      <c r="B16" s="51" t="s">
        <v>151</v>
      </c>
      <c r="C16" s="51" t="s">
        <v>152</v>
      </c>
      <c r="D16" s="51" t="s">
        <v>153</v>
      </c>
      <c r="E16" s="50" t="s">
        <v>25</v>
      </c>
      <c r="F16" s="50" t="s">
        <v>15</v>
      </c>
      <c r="G16" s="51" t="s">
        <v>155</v>
      </c>
      <c r="H16" s="50" t="s">
        <v>12</v>
      </c>
      <c r="I16" s="50" t="s">
        <v>24</v>
      </c>
      <c r="J16" s="35"/>
      <c r="K16" s="35"/>
      <c r="M16" s="36"/>
      <c r="N16" s="37"/>
      <c r="O16" s="37"/>
      <c r="P16" s="37"/>
      <c r="Q16" s="38"/>
      <c r="R16" s="39"/>
    </row>
    <row r="17" spans="1:18" s="188" customFormat="1" x14ac:dyDescent="0.3">
      <c r="A17" s="72" t="s">
        <v>64</v>
      </c>
      <c r="B17" s="40">
        <f>MAX(B36,B50,B64,B78,B92)</f>
        <v>0</v>
      </c>
      <c r="C17" s="40">
        <f>MAX(C36,C50,C64,C78,C92)</f>
        <v>0</v>
      </c>
      <c r="D17" s="40">
        <f t="shared" ref="D17:D26" si="0">$G$8*D36+$G$9*D50+$G$10*D64+$G$11*D78+$G$12*D92</f>
        <v>0</v>
      </c>
      <c r="E17" s="41">
        <f t="shared" ref="E17:E26" si="1">D17*$G$5/1000</f>
        <v>0</v>
      </c>
      <c r="F17" s="41">
        <f>IF($H17="Y1",$B$10,IF($H17="Y2",$B$10+$C$10,IF($H17="Y",$B$13,IF($H17="N",0))))</f>
        <v>0</v>
      </c>
      <c r="G17" s="41">
        <f>E17-F17</f>
        <v>0</v>
      </c>
      <c r="H17" s="42" t="s">
        <v>14</v>
      </c>
      <c r="I17" s="41">
        <f>IF(OR(H17="Y",H17="Y1",H17="Y2"),E17,0)</f>
        <v>0</v>
      </c>
      <c r="J17" s="43"/>
      <c r="K17" s="43"/>
      <c r="M17" s="44"/>
      <c r="N17" s="45"/>
      <c r="O17" s="45"/>
      <c r="P17" s="45"/>
      <c r="Q17" s="33"/>
      <c r="R17" s="39"/>
    </row>
    <row r="18" spans="1:18" s="188" customFormat="1" x14ac:dyDescent="0.3">
      <c r="A18" s="72" t="s">
        <v>65</v>
      </c>
      <c r="B18" s="40">
        <f t="shared" ref="B18:C26" si="2">MAX(B37,B51,B65,B79,B93)</f>
        <v>0</v>
      </c>
      <c r="C18" s="40">
        <f t="shared" si="2"/>
        <v>0</v>
      </c>
      <c r="D18" s="40">
        <f t="shared" si="0"/>
        <v>0</v>
      </c>
      <c r="E18" s="41">
        <f t="shared" si="1"/>
        <v>0</v>
      </c>
      <c r="F18" s="41">
        <f t="shared" ref="F18:F26" si="3">IF($H18="Y1",$B$10,IF($H18="Y2",$B$10+$C$10,IF($H18="Y",$B$13,IF($H18="N",0))))</f>
        <v>0</v>
      </c>
      <c r="G18" s="41">
        <f t="shared" ref="G18:G26" si="4">E18-F18</f>
        <v>0</v>
      </c>
      <c r="H18" s="42" t="s">
        <v>14</v>
      </c>
      <c r="I18" s="41">
        <f t="shared" ref="I18:I26" si="5">IF(OR(H18="Y",H18="Y1",H18="Y2"),E18,0)</f>
        <v>0</v>
      </c>
      <c r="J18" s="43"/>
      <c r="K18" s="43"/>
      <c r="M18" s="44"/>
      <c r="N18" s="45"/>
      <c r="O18" s="45"/>
      <c r="P18" s="45"/>
      <c r="Q18" s="33"/>
      <c r="R18" s="39"/>
    </row>
    <row r="19" spans="1:18" s="188" customFormat="1" x14ac:dyDescent="0.3">
      <c r="A19" s="72" t="s">
        <v>66</v>
      </c>
      <c r="B19" s="40">
        <f t="shared" si="2"/>
        <v>0</v>
      </c>
      <c r="C19" s="40">
        <f t="shared" si="2"/>
        <v>0</v>
      </c>
      <c r="D19" s="40">
        <f t="shared" si="0"/>
        <v>0</v>
      </c>
      <c r="E19" s="41">
        <f t="shared" si="1"/>
        <v>0</v>
      </c>
      <c r="F19" s="41">
        <f t="shared" si="3"/>
        <v>0</v>
      </c>
      <c r="G19" s="41">
        <f t="shared" si="4"/>
        <v>0</v>
      </c>
      <c r="H19" s="42" t="s">
        <v>14</v>
      </c>
      <c r="I19" s="41">
        <f t="shared" si="5"/>
        <v>0</v>
      </c>
      <c r="J19" s="43"/>
      <c r="K19" s="43"/>
      <c r="M19" s="44"/>
      <c r="N19" s="45"/>
      <c r="O19" s="45"/>
      <c r="P19" s="45"/>
      <c r="Q19" s="33"/>
      <c r="R19" s="39"/>
    </row>
    <row r="20" spans="1:18" s="188" customFormat="1" x14ac:dyDescent="0.3">
      <c r="A20" s="72" t="s">
        <v>67</v>
      </c>
      <c r="B20" s="40">
        <f t="shared" si="2"/>
        <v>0</v>
      </c>
      <c r="C20" s="40">
        <f t="shared" si="2"/>
        <v>0</v>
      </c>
      <c r="D20" s="40">
        <f t="shared" si="0"/>
        <v>0</v>
      </c>
      <c r="E20" s="41">
        <f t="shared" si="1"/>
        <v>0</v>
      </c>
      <c r="F20" s="41">
        <f t="shared" si="3"/>
        <v>0</v>
      </c>
      <c r="G20" s="41">
        <f t="shared" si="4"/>
        <v>0</v>
      </c>
      <c r="H20" s="42" t="s">
        <v>14</v>
      </c>
      <c r="I20" s="41">
        <f t="shared" si="5"/>
        <v>0</v>
      </c>
      <c r="J20" s="43"/>
      <c r="K20" s="43"/>
      <c r="M20" s="44"/>
      <c r="N20" s="45"/>
      <c r="O20" s="45"/>
      <c r="P20" s="45"/>
      <c r="Q20" s="33"/>
      <c r="R20" s="39"/>
    </row>
    <row r="21" spans="1:18" s="188" customFormat="1" x14ac:dyDescent="0.3">
      <c r="A21" s="72" t="s">
        <v>68</v>
      </c>
      <c r="B21" s="40">
        <f t="shared" si="2"/>
        <v>0</v>
      </c>
      <c r="C21" s="40">
        <f t="shared" si="2"/>
        <v>0</v>
      </c>
      <c r="D21" s="40">
        <f t="shared" si="0"/>
        <v>0</v>
      </c>
      <c r="E21" s="41">
        <f t="shared" si="1"/>
        <v>0</v>
      </c>
      <c r="F21" s="41">
        <f t="shared" si="3"/>
        <v>0</v>
      </c>
      <c r="G21" s="41">
        <f t="shared" si="4"/>
        <v>0</v>
      </c>
      <c r="H21" s="42" t="s">
        <v>14</v>
      </c>
      <c r="I21" s="41">
        <f t="shared" si="5"/>
        <v>0</v>
      </c>
      <c r="J21" s="43"/>
      <c r="K21" s="43"/>
      <c r="M21" s="44"/>
      <c r="N21" s="45"/>
      <c r="O21" s="45"/>
      <c r="P21" s="45"/>
      <c r="Q21" s="33"/>
      <c r="R21" s="39"/>
    </row>
    <row r="22" spans="1:18" s="188" customFormat="1" x14ac:dyDescent="0.3">
      <c r="A22" s="72" t="s">
        <v>69</v>
      </c>
      <c r="B22" s="40">
        <f t="shared" si="2"/>
        <v>0</v>
      </c>
      <c r="C22" s="40">
        <f t="shared" si="2"/>
        <v>0</v>
      </c>
      <c r="D22" s="40">
        <f t="shared" si="0"/>
        <v>0</v>
      </c>
      <c r="E22" s="41">
        <f t="shared" si="1"/>
        <v>0</v>
      </c>
      <c r="F22" s="41">
        <f t="shared" si="3"/>
        <v>0</v>
      </c>
      <c r="G22" s="41">
        <f t="shared" si="4"/>
        <v>0</v>
      </c>
      <c r="H22" s="42" t="s">
        <v>14</v>
      </c>
      <c r="I22" s="41">
        <f t="shared" si="5"/>
        <v>0</v>
      </c>
      <c r="J22" s="43"/>
      <c r="K22" s="43"/>
      <c r="M22" s="44"/>
      <c r="N22" s="45"/>
      <c r="O22" s="45"/>
      <c r="P22" s="45"/>
      <c r="Q22" s="33"/>
      <c r="R22" s="39"/>
    </row>
    <row r="23" spans="1:18" s="188" customFormat="1" x14ac:dyDescent="0.3">
      <c r="A23" s="72" t="s">
        <v>70</v>
      </c>
      <c r="B23" s="40">
        <f t="shared" si="2"/>
        <v>284.59000000000026</v>
      </c>
      <c r="C23" s="40">
        <f t="shared" si="2"/>
        <v>2365.7199999999975</v>
      </c>
      <c r="D23" s="40">
        <f t="shared" si="0"/>
        <v>951.46779199999992</v>
      </c>
      <c r="E23" s="41">
        <f t="shared" si="1"/>
        <v>58.943429714400004</v>
      </c>
      <c r="F23" s="41">
        <f t="shared" si="3"/>
        <v>15.600301279273546</v>
      </c>
      <c r="G23" s="41">
        <f t="shared" si="4"/>
        <v>43.343128435126459</v>
      </c>
      <c r="H23" s="46" t="s">
        <v>13</v>
      </c>
      <c r="I23" s="41">
        <f t="shared" si="5"/>
        <v>58.943429714400004</v>
      </c>
      <c r="J23" s="43"/>
      <c r="K23" s="43"/>
      <c r="M23" s="44"/>
      <c r="N23" s="45"/>
      <c r="O23" s="45"/>
      <c r="P23" s="45"/>
      <c r="Q23" s="33"/>
      <c r="R23" s="39"/>
    </row>
    <row r="24" spans="1:18" s="188" customFormat="1" x14ac:dyDescent="0.3">
      <c r="A24" s="72" t="s">
        <v>71</v>
      </c>
      <c r="B24" s="40">
        <f t="shared" si="2"/>
        <v>298.16000000000008</v>
      </c>
      <c r="C24" s="40">
        <f t="shared" si="2"/>
        <v>2975.6899999999987</v>
      </c>
      <c r="D24" s="40">
        <f t="shared" si="0"/>
        <v>1061.5756159999999</v>
      </c>
      <c r="E24" s="41">
        <f t="shared" si="1"/>
        <v>65.764609411199999</v>
      </c>
      <c r="F24" s="41">
        <f t="shared" si="3"/>
        <v>15.600301279273546</v>
      </c>
      <c r="G24" s="41">
        <f t="shared" si="4"/>
        <v>50.164308131926454</v>
      </c>
      <c r="H24" s="46" t="s">
        <v>13</v>
      </c>
      <c r="I24" s="41">
        <f t="shared" si="5"/>
        <v>65.764609411199999</v>
      </c>
      <c r="J24" s="43"/>
      <c r="K24" s="43"/>
      <c r="M24" s="44"/>
      <c r="N24" s="45"/>
      <c r="O24" s="45"/>
      <c r="P24" s="45"/>
      <c r="Q24" s="33"/>
      <c r="R24" s="39"/>
    </row>
    <row r="25" spans="1:18" s="188" customFormat="1" x14ac:dyDescent="0.3">
      <c r="A25" s="72" t="s">
        <v>72</v>
      </c>
      <c r="B25" s="40">
        <f t="shared" si="2"/>
        <v>285.03999999999996</v>
      </c>
      <c r="C25" s="40">
        <f t="shared" si="2"/>
        <v>3452.3300000000054</v>
      </c>
      <c r="D25" s="40">
        <f t="shared" si="0"/>
        <v>996.24201599999935</v>
      </c>
      <c r="E25" s="41">
        <f t="shared" si="1"/>
        <v>61.717192891199964</v>
      </c>
      <c r="F25" s="41">
        <f t="shared" si="3"/>
        <v>15.600301279273546</v>
      </c>
      <c r="G25" s="41">
        <f t="shared" si="4"/>
        <v>46.11689161192642</v>
      </c>
      <c r="H25" s="46" t="s">
        <v>13</v>
      </c>
      <c r="I25" s="41">
        <f t="shared" si="5"/>
        <v>61.717192891199964</v>
      </c>
      <c r="J25" s="43"/>
      <c r="K25" s="43"/>
      <c r="M25" s="44"/>
      <c r="N25" s="45"/>
      <c r="O25" s="45"/>
      <c r="P25" s="45"/>
      <c r="Q25" s="33"/>
      <c r="R25" s="39"/>
    </row>
    <row r="26" spans="1:18" s="188" customFormat="1" x14ac:dyDescent="0.3">
      <c r="A26" s="72" t="s">
        <v>73</v>
      </c>
      <c r="B26" s="40">
        <f t="shared" si="2"/>
        <v>330.26999999999975</v>
      </c>
      <c r="C26" s="40">
        <f t="shared" si="2"/>
        <v>4820.5600000000049</v>
      </c>
      <c r="D26" s="40">
        <f t="shared" si="0"/>
        <v>1239.6487360000015</v>
      </c>
      <c r="E26" s="41">
        <f t="shared" si="1"/>
        <v>76.796239195200087</v>
      </c>
      <c r="F26" s="41">
        <f t="shared" si="3"/>
        <v>15.600301279273546</v>
      </c>
      <c r="G26" s="41">
        <f t="shared" si="4"/>
        <v>61.195937915926542</v>
      </c>
      <c r="H26" s="46" t="s">
        <v>13</v>
      </c>
      <c r="I26" s="41">
        <f t="shared" si="5"/>
        <v>76.796239195200087</v>
      </c>
      <c r="J26" s="43"/>
      <c r="K26" s="43"/>
      <c r="M26" s="44"/>
      <c r="N26" s="45"/>
      <c r="O26" s="45"/>
      <c r="P26" s="45"/>
      <c r="Q26" s="33"/>
      <c r="R26" s="39"/>
    </row>
    <row r="27" spans="1:18" s="188" customFormat="1" x14ac:dyDescent="0.3">
      <c r="G27" s="57"/>
      <c r="H27" s="39">
        <f>SUM(COUNTIF(H17:H26,{"Y","Y1","Y2"}))</f>
        <v>4</v>
      </c>
      <c r="I27" s="47">
        <f>-PV($G$6,$G$7-H27,I26)</f>
        <v>743.11943499343511</v>
      </c>
      <c r="J27" s="56" t="s">
        <v>11</v>
      </c>
      <c r="K27" s="47"/>
      <c r="L27" s="39"/>
      <c r="M27" s="39"/>
      <c r="Q27" s="45"/>
    </row>
    <row r="28" spans="1:18" s="351" customFormat="1" ht="15" thickBot="1" x14ac:dyDescent="0.35">
      <c r="G28" s="57"/>
      <c r="H28" s="39"/>
      <c r="I28" s="61">
        <f>NPV($G$6,I17:I25,I26+I27)</f>
        <v>403.21407572055216</v>
      </c>
      <c r="J28" s="56" t="s">
        <v>23</v>
      </c>
      <c r="K28" s="47"/>
      <c r="L28" s="39"/>
      <c r="M28" s="39"/>
      <c r="Q28" s="45"/>
    </row>
    <row r="29" spans="1:18" s="188" customFormat="1" ht="15" thickTop="1" x14ac:dyDescent="0.3">
      <c r="I29" s="47"/>
      <c r="J29" s="39"/>
      <c r="K29" s="47"/>
      <c r="L29" s="39"/>
      <c r="M29" s="39"/>
    </row>
    <row r="30" spans="1:18" s="188" customFormat="1" ht="43.2" x14ac:dyDescent="0.3">
      <c r="A30" s="34"/>
      <c r="B30" s="63" t="s">
        <v>16</v>
      </c>
      <c r="C30" s="63" t="s">
        <v>17</v>
      </c>
      <c r="D30" s="63" t="s">
        <v>18</v>
      </c>
      <c r="E30" s="63" t="s">
        <v>19</v>
      </c>
      <c r="F30" s="63" t="s">
        <v>20</v>
      </c>
      <c r="G30" s="63" t="s">
        <v>21</v>
      </c>
      <c r="H30" s="64" t="s">
        <v>28</v>
      </c>
      <c r="I30" s="64" t="s">
        <v>37</v>
      </c>
      <c r="K30" s="39"/>
      <c r="L30" s="39"/>
      <c r="M30" s="39"/>
    </row>
    <row r="31" spans="1:18" s="188" customFormat="1" x14ac:dyDescent="0.3">
      <c r="A31" s="180" t="s">
        <v>22</v>
      </c>
      <c r="B31" s="48">
        <f>NPV($G$6,F36:F44,F45+F46)/1000</f>
        <v>293.20743422030955</v>
      </c>
      <c r="C31" s="48">
        <f>NPV($G$6,F50:F58,F59+F60)/1000</f>
        <v>796.65444937594714</v>
      </c>
      <c r="D31" s="48">
        <f>NPV($G$6,F64:F72,F73+F74)/1000</f>
        <v>235.46650422071508</v>
      </c>
      <c r="E31" s="48">
        <f>NPV($G$6,F78:F86,F87+F88)/1000</f>
        <v>540.68752466090723</v>
      </c>
      <c r="F31" s="48">
        <f>NPV($G$6,F92:F100,F101+F102)/1000</f>
        <v>150.05446612488188</v>
      </c>
      <c r="G31" s="49">
        <f>B31*G8+C31*G9+D31*G10+E31*G11+F31*G12</f>
        <v>403.21407572055222</v>
      </c>
      <c r="H31" s="192">
        <f>B12</f>
        <v>152.55613743355636</v>
      </c>
      <c r="I31" s="48">
        <f>G31-H31</f>
        <v>250.65793828699586</v>
      </c>
    </row>
    <row r="32" spans="1:18" s="188" customFormat="1" x14ac:dyDescent="0.3">
      <c r="I32" s="197"/>
    </row>
    <row r="33" spans="1:14" s="188" customFormat="1" x14ac:dyDescent="0.3"/>
    <row r="34" spans="1:14" s="188" customFormat="1" ht="15.6" x14ac:dyDescent="0.3">
      <c r="A34" s="409" t="s">
        <v>52</v>
      </c>
      <c r="B34" s="410"/>
      <c r="C34" s="410"/>
      <c r="D34" s="410"/>
      <c r="E34" s="410"/>
      <c r="F34" s="411"/>
      <c r="H34" s="406" t="s">
        <v>59</v>
      </c>
      <c r="I34" s="406"/>
      <c r="J34" s="406"/>
      <c r="K34" s="406"/>
      <c r="L34" s="406"/>
    </row>
    <row r="35" spans="1:14" s="188" customFormat="1" ht="57.6" x14ac:dyDescent="0.3">
      <c r="A35" s="178" t="s">
        <v>5</v>
      </c>
      <c r="B35" s="51" t="s">
        <v>151</v>
      </c>
      <c r="C35" s="51" t="s">
        <v>152</v>
      </c>
      <c r="D35" s="51" t="s">
        <v>153</v>
      </c>
      <c r="E35" s="51" t="s">
        <v>12</v>
      </c>
      <c r="F35" s="51" t="s">
        <v>134</v>
      </c>
      <c r="H35" s="178" t="s">
        <v>5</v>
      </c>
      <c r="I35" s="51" t="s">
        <v>75</v>
      </c>
      <c r="J35" s="51" t="s">
        <v>51</v>
      </c>
      <c r="K35" s="50" t="s">
        <v>0</v>
      </c>
      <c r="L35" s="51" t="s">
        <v>58</v>
      </c>
    </row>
    <row r="36" spans="1:14" s="188" customFormat="1" x14ac:dyDescent="0.3">
      <c r="A36" s="72" t="s">
        <v>64</v>
      </c>
      <c r="B36" s="40">
        <f>IF(E36="N",0,Base!B32-Option2!I36)</f>
        <v>0</v>
      </c>
      <c r="C36" s="40">
        <f>IF(E36="N",0,Base!C32-Option2!J36)</f>
        <v>0</v>
      </c>
      <c r="D36" s="382">
        <f>IF(E36="N",0,Base!D32-Option2!K36)</f>
        <v>0</v>
      </c>
      <c r="E36" s="179" t="str">
        <f t="shared" ref="E36:E45" si="6">H17</f>
        <v>N</v>
      </c>
      <c r="F36" s="52">
        <f>IF(OR(E36="Y",E36="Y1",E36="Y2"),D36*$G$5,0)</f>
        <v>0</v>
      </c>
      <c r="H36" s="72" t="s">
        <v>64</v>
      </c>
      <c r="I36" s="40">
        <v>547.82000000000005</v>
      </c>
      <c r="J36" s="40">
        <v>8766.4000000000015</v>
      </c>
      <c r="K36" s="40">
        <v>7323.4667200000004</v>
      </c>
      <c r="L36" s="40">
        <f t="shared" ref="L36:L45" si="7">K36*$G$5</f>
        <v>453688.76330400002</v>
      </c>
      <c r="N36" s="53"/>
    </row>
    <row r="37" spans="1:14" s="188" customFormat="1" x14ac:dyDescent="0.3">
      <c r="A37" s="72" t="s">
        <v>65</v>
      </c>
      <c r="B37" s="382">
        <f>IF(E37="N",0,Base!B33-Option2!I37)</f>
        <v>0</v>
      </c>
      <c r="C37" s="382">
        <f>IF(E37="N",0,Base!C33-Option2!J37)</f>
        <v>0</v>
      </c>
      <c r="D37" s="382">
        <f>IF(E37="N",0,Base!D33-Option2!K37)</f>
        <v>0</v>
      </c>
      <c r="E37" s="179" t="str">
        <f t="shared" si="6"/>
        <v>N</v>
      </c>
      <c r="F37" s="52">
        <f t="shared" ref="F37:F45" si="8">IF(OR(E37="Y",E37="Y1",E37="Y2"),D37*$G$5,0)</f>
        <v>0</v>
      </c>
      <c r="H37" s="72" t="s">
        <v>65</v>
      </c>
      <c r="I37" s="40">
        <v>596.24</v>
      </c>
      <c r="J37" s="40">
        <v>8925.9300000000021</v>
      </c>
      <c r="K37" s="40">
        <v>7326.36888</v>
      </c>
      <c r="L37" s="40">
        <f t="shared" si="7"/>
        <v>453868.55211600004</v>
      </c>
    </row>
    <row r="38" spans="1:14" s="188" customFormat="1" x14ac:dyDescent="0.3">
      <c r="A38" s="72" t="s">
        <v>66</v>
      </c>
      <c r="B38" s="382">
        <f>IF(E38="N",0,Base!B34-Option2!I38)</f>
        <v>0</v>
      </c>
      <c r="C38" s="382">
        <f>IF(E38="N",0,Base!C34-Option2!J38)</f>
        <v>0</v>
      </c>
      <c r="D38" s="382">
        <f>IF(E38="N",0,Base!D34-Option2!K38)</f>
        <v>0</v>
      </c>
      <c r="E38" s="179" t="str">
        <f t="shared" si="6"/>
        <v>N</v>
      </c>
      <c r="F38" s="52">
        <f t="shared" si="8"/>
        <v>0</v>
      </c>
      <c r="H38" s="72" t="s">
        <v>66</v>
      </c>
      <c r="I38" s="40">
        <v>662.25</v>
      </c>
      <c r="J38" s="40">
        <v>9319.5300000000007</v>
      </c>
      <c r="K38" s="40">
        <v>7558.6917599999997</v>
      </c>
      <c r="L38" s="40">
        <f t="shared" si="7"/>
        <v>468260.954532</v>
      </c>
    </row>
    <row r="39" spans="1:14" s="188" customFormat="1" x14ac:dyDescent="0.3">
      <c r="A39" s="72" t="s">
        <v>67</v>
      </c>
      <c r="B39" s="382">
        <f>IF(E39="N",0,Base!B35-Option2!I39)</f>
        <v>0</v>
      </c>
      <c r="C39" s="382">
        <f>IF(E39="N",0,Base!C35-Option2!J39)</f>
        <v>0</v>
      </c>
      <c r="D39" s="382">
        <f>IF(E39="N",0,Base!D35-Option2!K39)</f>
        <v>0</v>
      </c>
      <c r="E39" s="179" t="str">
        <f t="shared" si="6"/>
        <v>N</v>
      </c>
      <c r="F39" s="52">
        <f t="shared" si="8"/>
        <v>0</v>
      </c>
      <c r="H39" s="72" t="s">
        <v>67</v>
      </c>
      <c r="I39" s="40">
        <v>700.95</v>
      </c>
      <c r="J39" s="40">
        <v>9479.0600000000013</v>
      </c>
      <c r="K39" s="40">
        <v>7584.7359200000001</v>
      </c>
      <c r="L39" s="40">
        <f t="shared" si="7"/>
        <v>469874.39024400001</v>
      </c>
    </row>
    <row r="40" spans="1:14" s="188" customFormat="1" x14ac:dyDescent="0.3">
      <c r="A40" s="72" t="s">
        <v>68</v>
      </c>
      <c r="B40" s="382">
        <f>IF(E40="N",0,Base!B36-Option2!I40)</f>
        <v>0</v>
      </c>
      <c r="C40" s="382">
        <f>IF(E40="N",0,Base!C36-Option2!J40)</f>
        <v>0</v>
      </c>
      <c r="D40" s="382">
        <f>IF(E40="N",0,Base!D36-Option2!K40)</f>
        <v>0</v>
      </c>
      <c r="E40" s="179" t="str">
        <f t="shared" si="6"/>
        <v>N</v>
      </c>
      <c r="F40" s="52">
        <f t="shared" si="8"/>
        <v>0</v>
      </c>
      <c r="H40" s="72" t="s">
        <v>68</v>
      </c>
      <c r="I40" s="40">
        <v>798.57</v>
      </c>
      <c r="J40" s="40">
        <v>9834.8200000000015</v>
      </c>
      <c r="K40" s="40">
        <v>7703.6679999999997</v>
      </c>
      <c r="L40" s="40">
        <f t="shared" si="7"/>
        <v>477242.23259999999</v>
      </c>
    </row>
    <row r="41" spans="1:14" s="188" customFormat="1" x14ac:dyDescent="0.3">
      <c r="A41" s="72" t="s">
        <v>69</v>
      </c>
      <c r="B41" s="382">
        <f>IF(E41="N",0,Base!B37-Option2!I41)</f>
        <v>0</v>
      </c>
      <c r="C41" s="382">
        <f>IF(E41="N",0,Base!C37-Option2!J41)</f>
        <v>0</v>
      </c>
      <c r="D41" s="382">
        <f>IF(E41="N",0,Base!D37-Option2!K41)</f>
        <v>0</v>
      </c>
      <c r="E41" s="179" t="str">
        <f t="shared" si="6"/>
        <v>N</v>
      </c>
      <c r="F41" s="52">
        <f t="shared" si="8"/>
        <v>0</v>
      </c>
      <c r="H41" s="72" t="s">
        <v>69</v>
      </c>
      <c r="I41" s="40">
        <v>923.00999999999988</v>
      </c>
      <c r="J41" s="40">
        <v>10646.94</v>
      </c>
      <c r="K41" s="40">
        <v>8136.2731199999998</v>
      </c>
      <c r="L41" s="40">
        <f t="shared" si="7"/>
        <v>504042.11978400004</v>
      </c>
    </row>
    <row r="42" spans="1:14" s="188" customFormat="1" x14ac:dyDescent="0.3">
      <c r="A42" s="72" t="s">
        <v>70</v>
      </c>
      <c r="B42" s="382">
        <f>IF(E42="N",0,Base!B38-Option2!I42)</f>
        <v>169.52999999999997</v>
      </c>
      <c r="C42" s="382">
        <f>IF(E42="N",0,Base!C38-Option2!J42)</f>
        <v>1247.4699999999993</v>
      </c>
      <c r="D42" s="382">
        <f>IF(E42="N",0,Base!D38-Option2!K42)</f>
        <v>858.01624000000083</v>
      </c>
      <c r="E42" s="179" t="str">
        <f t="shared" si="6"/>
        <v>Y</v>
      </c>
      <c r="F42" s="52">
        <f t="shared" si="8"/>
        <v>53154.106068000052</v>
      </c>
      <c r="H42" s="72" t="s">
        <v>70</v>
      </c>
      <c r="I42" s="40">
        <v>1046.82</v>
      </c>
      <c r="J42" s="40">
        <v>11861.76</v>
      </c>
      <c r="K42" s="40">
        <v>8612.4352799999997</v>
      </c>
      <c r="L42" s="40">
        <f t="shared" si="7"/>
        <v>533540.36559599999</v>
      </c>
    </row>
    <row r="43" spans="1:14" s="188" customFormat="1" x14ac:dyDescent="0.3">
      <c r="A43" s="72" t="s">
        <v>71</v>
      </c>
      <c r="B43" s="382">
        <f>IF(E43="N",0,Base!B39-Option2!I43)</f>
        <v>181.21000000000004</v>
      </c>
      <c r="C43" s="382">
        <f>IF(E43="N",0,Base!C39-Option2!J43)</f>
        <v>1403.3999999999996</v>
      </c>
      <c r="D43" s="382">
        <f>IF(E43="N",0,Base!D39-Option2!K43)</f>
        <v>961.58615999999893</v>
      </c>
      <c r="E43" s="179" t="str">
        <f t="shared" si="6"/>
        <v>Y</v>
      </c>
      <c r="F43" s="52">
        <f t="shared" si="8"/>
        <v>59570.262611999933</v>
      </c>
      <c r="H43" s="72" t="s">
        <v>71</v>
      </c>
      <c r="I43" s="40">
        <v>1091</v>
      </c>
      <c r="J43" s="40">
        <v>13069.009999999998</v>
      </c>
      <c r="K43" s="40">
        <v>9043.2346399999988</v>
      </c>
      <c r="L43" s="40">
        <f t="shared" si="7"/>
        <v>560228.38594799989</v>
      </c>
    </row>
    <row r="44" spans="1:14" s="188" customFormat="1" x14ac:dyDescent="0.3">
      <c r="A44" s="72" t="s">
        <v>72</v>
      </c>
      <c r="B44" s="382">
        <f>IF(E44="N",0,Base!B40-Option2!I44)</f>
        <v>285.03999999999996</v>
      </c>
      <c r="C44" s="382">
        <f>IF(E44="N",0,Base!C40-Option2!J44)</f>
        <v>1246.8599999999988</v>
      </c>
      <c r="D44" s="382">
        <f>IF(E44="N",0,Base!D40-Option2!K44)</f>
        <v>783.6232799999998</v>
      </c>
      <c r="E44" s="179" t="str">
        <f t="shared" si="6"/>
        <v>Y</v>
      </c>
      <c r="F44" s="52">
        <f t="shared" si="8"/>
        <v>48545.462195999993</v>
      </c>
      <c r="H44" s="72" t="s">
        <v>72</v>
      </c>
      <c r="I44" s="40">
        <v>1023.8900000000001</v>
      </c>
      <c r="J44" s="40">
        <v>14354.41</v>
      </c>
      <c r="K44" s="40">
        <v>9481.75576</v>
      </c>
      <c r="L44" s="40">
        <f t="shared" si="7"/>
        <v>587394.76933200005</v>
      </c>
    </row>
    <row r="45" spans="1:14" s="188" customFormat="1" x14ac:dyDescent="0.3">
      <c r="A45" s="72" t="s">
        <v>73</v>
      </c>
      <c r="B45" s="382">
        <f>IF(E45="N",0,Base!B41-Option2!I45)</f>
        <v>204.82999999999993</v>
      </c>
      <c r="C45" s="382">
        <f>IF(E45="N",0,Base!C41-Option2!J45)</f>
        <v>1324</v>
      </c>
      <c r="D45" s="382">
        <f>IF(E45="N",0,Base!D41-Option2!K45)</f>
        <v>853.14208000000144</v>
      </c>
      <c r="E45" s="179" t="str">
        <f t="shared" si="6"/>
        <v>Y</v>
      </c>
      <c r="F45" s="52">
        <f t="shared" si="8"/>
        <v>52852.151856000091</v>
      </c>
      <c r="H45" s="72" t="s">
        <v>73</v>
      </c>
      <c r="I45" s="40">
        <v>1228.4499999999998</v>
      </c>
      <c r="J45" s="40">
        <v>16739.52</v>
      </c>
      <c r="K45" s="40">
        <v>10443.768479999999</v>
      </c>
      <c r="L45" s="40">
        <f t="shared" si="7"/>
        <v>646991.45733599993</v>
      </c>
    </row>
    <row r="46" spans="1:14" s="188" customFormat="1" ht="15" thickBot="1" x14ac:dyDescent="0.35">
      <c r="E46" s="60">
        <f>SUM(COUNTIF(E36:E45,{"Y","Y1","Y2"}))</f>
        <v>4</v>
      </c>
      <c r="F46" s="62">
        <f>-PV($G$6,$G$7-E46,F45)</f>
        <v>511424.27854556724</v>
      </c>
      <c r="G46" s="55" t="s">
        <v>11</v>
      </c>
    </row>
    <row r="47" spans="1:14" s="188" customFormat="1" ht="15" thickTop="1" x14ac:dyDescent="0.3"/>
    <row r="48" spans="1:14" s="188" customFormat="1" ht="15.6" x14ac:dyDescent="0.3">
      <c r="A48" s="409" t="s">
        <v>56</v>
      </c>
      <c r="B48" s="410"/>
      <c r="C48" s="410"/>
      <c r="D48" s="410"/>
      <c r="E48" s="410"/>
      <c r="F48" s="411"/>
      <c r="H48" s="406" t="s">
        <v>60</v>
      </c>
      <c r="I48" s="406"/>
      <c r="J48" s="406"/>
      <c r="K48" s="406"/>
      <c r="L48" s="406"/>
    </row>
    <row r="49" spans="1:12" s="188" customFormat="1" ht="57.6" x14ac:dyDescent="0.3">
      <c r="A49" s="178" t="s">
        <v>5</v>
      </c>
      <c r="B49" s="51" t="s">
        <v>151</v>
      </c>
      <c r="C49" s="51" t="s">
        <v>152</v>
      </c>
      <c r="D49" s="51" t="s">
        <v>153</v>
      </c>
      <c r="E49" s="51" t="s">
        <v>12</v>
      </c>
      <c r="F49" s="51" t="s">
        <v>134</v>
      </c>
      <c r="H49" s="178" t="s">
        <v>5</v>
      </c>
      <c r="I49" s="51" t="s">
        <v>75</v>
      </c>
      <c r="J49" s="51" t="s">
        <v>51</v>
      </c>
      <c r="K49" s="50" t="s">
        <v>0</v>
      </c>
      <c r="L49" s="51" t="s">
        <v>58</v>
      </c>
    </row>
    <row r="50" spans="1:12" s="188" customFormat="1" x14ac:dyDescent="0.3">
      <c r="A50" s="72" t="s">
        <v>64</v>
      </c>
      <c r="B50" s="382">
        <f>IF(E50="N",0,Base!B46-Option2!I50)</f>
        <v>0</v>
      </c>
      <c r="C50" s="382">
        <f>IF(E50="N",0,Base!C46-Option2!J50)</f>
        <v>0</v>
      </c>
      <c r="D50" s="382">
        <f>IF(E50="N",0,Base!D46-Option2!K50)</f>
        <v>0</v>
      </c>
      <c r="E50" s="179" t="str">
        <f>E36</f>
        <v>N</v>
      </c>
      <c r="F50" s="52">
        <f>IF(OR(E50="Y",E50="Y1",E50="Y2"),D50*$G$5,0)</f>
        <v>0</v>
      </c>
      <c r="H50" s="72" t="s">
        <v>64</v>
      </c>
      <c r="I50" s="40">
        <v>552.92999999999995</v>
      </c>
      <c r="J50" s="40">
        <v>8766.4100000000017</v>
      </c>
      <c r="K50" s="40">
        <v>7323.46976</v>
      </c>
      <c r="L50" s="40">
        <f t="shared" ref="L50:L59" si="9">K50*$G$5</f>
        <v>453688.95163200004</v>
      </c>
    </row>
    <row r="51" spans="1:12" s="188" customFormat="1" x14ac:dyDescent="0.3">
      <c r="A51" s="72" t="s">
        <v>65</v>
      </c>
      <c r="B51" s="382">
        <f>IF(E51="N",0,Base!B47-Option2!I51)</f>
        <v>0</v>
      </c>
      <c r="C51" s="382">
        <f>IF(E51="N",0,Base!C47-Option2!J51)</f>
        <v>0</v>
      </c>
      <c r="D51" s="382">
        <f>IF(E51="N",0,Base!D47-Option2!K51)</f>
        <v>0</v>
      </c>
      <c r="E51" s="179" t="str">
        <f t="shared" ref="E51:E59" si="10">E37</f>
        <v>N</v>
      </c>
      <c r="F51" s="52">
        <f t="shared" ref="F51:F59" si="11">IF(OR(E51="Y",E51="Y1",E51="Y2"),D51*$G$5,0)</f>
        <v>0</v>
      </c>
      <c r="H51" s="72" t="s">
        <v>65</v>
      </c>
      <c r="I51" s="40">
        <v>601.99</v>
      </c>
      <c r="J51" s="40">
        <v>8933.68</v>
      </c>
      <c r="K51" s="40">
        <v>7328.265519999999</v>
      </c>
      <c r="L51" s="40">
        <f t="shared" si="9"/>
        <v>453986.04896399996</v>
      </c>
    </row>
    <row r="52" spans="1:12" s="188" customFormat="1" x14ac:dyDescent="0.3">
      <c r="A52" s="72" t="s">
        <v>66</v>
      </c>
      <c r="B52" s="382">
        <f>IF(E52="N",0,Base!B48-Option2!I52)</f>
        <v>0</v>
      </c>
      <c r="C52" s="382">
        <f>IF(E52="N",0,Base!C48-Option2!J52)</f>
        <v>0</v>
      </c>
      <c r="D52" s="382">
        <f>IF(E52="N",0,Base!D48-Option2!K52)</f>
        <v>0</v>
      </c>
      <c r="E52" s="179" t="str">
        <f t="shared" si="10"/>
        <v>N</v>
      </c>
      <c r="F52" s="52">
        <f t="shared" si="11"/>
        <v>0</v>
      </c>
      <c r="H52" s="72" t="s">
        <v>66</v>
      </c>
      <c r="I52" s="40">
        <v>666.47</v>
      </c>
      <c r="J52" s="40">
        <v>9322.52</v>
      </c>
      <c r="K52" s="40">
        <v>7559.1274399999993</v>
      </c>
      <c r="L52" s="40">
        <f t="shared" si="9"/>
        <v>468287.944908</v>
      </c>
    </row>
    <row r="53" spans="1:12" s="188" customFormat="1" x14ac:dyDescent="0.3">
      <c r="A53" s="72" t="s">
        <v>67</v>
      </c>
      <c r="B53" s="382">
        <f>IF(E53="N",0,Base!B49-Option2!I53)</f>
        <v>0</v>
      </c>
      <c r="C53" s="382">
        <f>IF(E53="N",0,Base!C49-Option2!J53)</f>
        <v>0</v>
      </c>
      <c r="D53" s="382">
        <f>IF(E53="N",0,Base!D49-Option2!K53)</f>
        <v>0</v>
      </c>
      <c r="E53" s="179" t="str">
        <f t="shared" si="10"/>
        <v>N</v>
      </c>
      <c r="F53" s="52">
        <f t="shared" si="11"/>
        <v>0</v>
      </c>
      <c r="H53" s="72" t="s">
        <v>67</v>
      </c>
      <c r="I53" s="40">
        <v>748.62</v>
      </c>
      <c r="J53" s="40">
        <v>9655.11</v>
      </c>
      <c r="K53" s="40">
        <v>7744.3881599999995</v>
      </c>
      <c r="L53" s="40">
        <f t="shared" si="9"/>
        <v>479764.84651200002</v>
      </c>
    </row>
    <row r="54" spans="1:12" s="188" customFormat="1" x14ac:dyDescent="0.3">
      <c r="A54" s="72" t="s">
        <v>68</v>
      </c>
      <c r="B54" s="382">
        <f>IF(E54="N",0,Base!B50-Option2!I54)</f>
        <v>0</v>
      </c>
      <c r="C54" s="382">
        <f>IF(E54="N",0,Base!C50-Option2!J54)</f>
        <v>0</v>
      </c>
      <c r="D54" s="382">
        <f>IF(E54="N",0,Base!D50-Option2!K54)</f>
        <v>0</v>
      </c>
      <c r="E54" s="179" t="str">
        <f t="shared" si="10"/>
        <v>N</v>
      </c>
      <c r="F54" s="52">
        <f t="shared" si="11"/>
        <v>0</v>
      </c>
      <c r="H54" s="72" t="s">
        <v>68</v>
      </c>
      <c r="I54" s="40">
        <v>1061</v>
      </c>
      <c r="J54" s="40">
        <v>10365.450000000001</v>
      </c>
      <c r="K54" s="40">
        <v>8074.5729599999995</v>
      </c>
      <c r="L54" s="40">
        <f t="shared" si="9"/>
        <v>500219.794872</v>
      </c>
    </row>
    <row r="55" spans="1:12" s="188" customFormat="1" x14ac:dyDescent="0.3">
      <c r="A55" s="72" t="s">
        <v>69</v>
      </c>
      <c r="B55" s="382">
        <f>IF(E55="N",0,Base!B51-Option2!I55)</f>
        <v>0</v>
      </c>
      <c r="C55" s="382">
        <f>IF(E55="N",0,Base!C51-Option2!J55)</f>
        <v>0</v>
      </c>
      <c r="D55" s="382">
        <f>IF(E55="N",0,Base!D51-Option2!K55)</f>
        <v>0</v>
      </c>
      <c r="E55" s="179" t="str">
        <f t="shared" si="10"/>
        <v>N</v>
      </c>
      <c r="F55" s="52">
        <f t="shared" si="11"/>
        <v>0</v>
      </c>
      <c r="H55" s="72" t="s">
        <v>69</v>
      </c>
      <c r="I55" s="40">
        <v>1103.45</v>
      </c>
      <c r="J55" s="40">
        <v>10925.449999999999</v>
      </c>
      <c r="K55" s="40">
        <v>8423.0864000000001</v>
      </c>
      <c r="L55" s="40">
        <f t="shared" si="9"/>
        <v>521810.20248000004</v>
      </c>
    </row>
    <row r="56" spans="1:12" s="188" customFormat="1" x14ac:dyDescent="0.3">
      <c r="A56" s="72" t="s">
        <v>70</v>
      </c>
      <c r="B56" s="382">
        <f>IF(E56="N",0,Base!B52-Option2!I56)</f>
        <v>78.160000000000082</v>
      </c>
      <c r="C56" s="382">
        <f>IF(E56="N",0,Base!C52-Option2!J56)</f>
        <v>2365.7199999999975</v>
      </c>
      <c r="D56" s="382">
        <f>IF(E56="N",0,Base!D52-Option2!K56)</f>
        <v>1504.5800799999997</v>
      </c>
      <c r="E56" s="179" t="str">
        <f t="shared" si="10"/>
        <v>Y</v>
      </c>
      <c r="F56" s="52">
        <f t="shared" si="11"/>
        <v>93208.73595599999</v>
      </c>
      <c r="H56" s="72" t="s">
        <v>70</v>
      </c>
      <c r="I56" s="40">
        <v>1325.6</v>
      </c>
      <c r="J56" s="40">
        <v>12312.249999999998</v>
      </c>
      <c r="K56" s="40">
        <v>8889.9971199999982</v>
      </c>
      <c r="L56" s="40">
        <f t="shared" si="9"/>
        <v>550735.3215839999</v>
      </c>
    </row>
    <row r="57" spans="1:12" s="188" customFormat="1" x14ac:dyDescent="0.3">
      <c r="A57" s="72" t="s">
        <v>71</v>
      </c>
      <c r="B57" s="382">
        <f>IF(E57="N",0,Base!B53-Option2!I57)</f>
        <v>158.60000000000014</v>
      </c>
      <c r="C57" s="382">
        <f>IF(E57="N",0,Base!C53-Option2!J57)</f>
        <v>2975.6899999999987</v>
      </c>
      <c r="D57" s="382">
        <f>IF(E57="N",0,Base!D53-Option2!K57)</f>
        <v>1771.9997599999988</v>
      </c>
      <c r="E57" s="179" t="str">
        <f t="shared" si="10"/>
        <v>Y</v>
      </c>
      <c r="F57" s="52">
        <f t="shared" si="11"/>
        <v>109775.38513199992</v>
      </c>
      <c r="H57" s="72" t="s">
        <v>71</v>
      </c>
      <c r="I57" s="40">
        <v>1282.9099999999999</v>
      </c>
      <c r="J57" s="40">
        <v>13541.689999999999</v>
      </c>
      <c r="K57" s="40">
        <v>9344.0583200000001</v>
      </c>
      <c r="L57" s="40">
        <f t="shared" si="9"/>
        <v>578864.41292400006</v>
      </c>
    </row>
    <row r="58" spans="1:12" s="188" customFormat="1" x14ac:dyDescent="0.3">
      <c r="A58" s="72" t="s">
        <v>72</v>
      </c>
      <c r="B58" s="382">
        <f>IF(E58="N",0,Base!B54-Option2!I58)</f>
        <v>120.00999999999999</v>
      </c>
      <c r="C58" s="382">
        <f>IF(E58="N",0,Base!C54-Option2!J58)</f>
        <v>3452.3300000000054</v>
      </c>
      <c r="D58" s="382">
        <f>IF(E58="N",0,Base!D54-Option2!K58)</f>
        <v>1888.3205600000001</v>
      </c>
      <c r="E58" s="179" t="str">
        <f t="shared" si="10"/>
        <v>Y</v>
      </c>
      <c r="F58" s="52">
        <f t="shared" si="11"/>
        <v>116981.45869200001</v>
      </c>
      <c r="H58" s="72" t="s">
        <v>72</v>
      </c>
      <c r="I58" s="40">
        <v>1545.89</v>
      </c>
      <c r="J58" s="40">
        <v>15712.899999999998</v>
      </c>
      <c r="K58" s="40">
        <v>10425.882159999999</v>
      </c>
      <c r="L58" s="40">
        <f t="shared" si="9"/>
        <v>645883.39981199999</v>
      </c>
    </row>
    <row r="59" spans="1:12" s="188" customFormat="1" x14ac:dyDescent="0.3">
      <c r="A59" s="72" t="s">
        <v>73</v>
      </c>
      <c r="B59" s="382">
        <f>IF(E59="N",0,Base!B55-Option2!I59)</f>
        <v>215.29999999999995</v>
      </c>
      <c r="C59" s="382">
        <f>IF(E59="N",0,Base!C55-Option2!J59)</f>
        <v>4820.5600000000049</v>
      </c>
      <c r="D59" s="382">
        <f>IF(E59="N",0,Base!D55-Option2!K59)</f>
        <v>2541.1600000000017</v>
      </c>
      <c r="E59" s="179" t="str">
        <f t="shared" si="10"/>
        <v>Y</v>
      </c>
      <c r="F59" s="52">
        <f t="shared" si="11"/>
        <v>157424.86200000011</v>
      </c>
      <c r="H59" s="72" t="s">
        <v>73</v>
      </c>
      <c r="I59" s="40">
        <v>1734.53</v>
      </c>
      <c r="J59" s="40">
        <v>18336.479999999996</v>
      </c>
      <c r="K59" s="40">
        <v>11451.167759999998</v>
      </c>
      <c r="L59" s="40">
        <f t="shared" si="9"/>
        <v>709399.84273199993</v>
      </c>
    </row>
    <row r="60" spans="1:12" s="188" customFormat="1" ht="15" thickBot="1" x14ac:dyDescent="0.35">
      <c r="E60" s="60">
        <f>SUM(COUNTIF(E50:E59,{"Y","Y1","Y2"}))</f>
        <v>4</v>
      </c>
      <c r="F60" s="62">
        <f>-PV($G$6,$G$7-E60,F59)</f>
        <v>1523322.9612456257</v>
      </c>
      <c r="G60" s="55" t="s">
        <v>11</v>
      </c>
    </row>
    <row r="61" spans="1:12" s="188" customFormat="1" ht="15" thickTop="1" x14ac:dyDescent="0.3"/>
    <row r="62" spans="1:12" s="188" customFormat="1" ht="15.6" x14ac:dyDescent="0.3">
      <c r="A62" s="409" t="s">
        <v>55</v>
      </c>
      <c r="B62" s="410"/>
      <c r="C62" s="410"/>
      <c r="D62" s="410"/>
      <c r="E62" s="410"/>
      <c r="F62" s="411"/>
      <c r="H62" s="406" t="s">
        <v>61</v>
      </c>
      <c r="I62" s="406"/>
      <c r="J62" s="406"/>
      <c r="K62" s="406"/>
      <c r="L62" s="406"/>
    </row>
    <row r="63" spans="1:12" s="188" customFormat="1" ht="57.6" x14ac:dyDescent="0.3">
      <c r="A63" s="178" t="s">
        <v>5</v>
      </c>
      <c r="B63" s="51" t="s">
        <v>151</v>
      </c>
      <c r="C63" s="51" t="s">
        <v>152</v>
      </c>
      <c r="D63" s="51" t="s">
        <v>153</v>
      </c>
      <c r="E63" s="51" t="s">
        <v>12</v>
      </c>
      <c r="F63" s="51" t="s">
        <v>134</v>
      </c>
      <c r="H63" s="178" t="s">
        <v>5</v>
      </c>
      <c r="I63" s="51" t="s">
        <v>75</v>
      </c>
      <c r="J63" s="51" t="s">
        <v>51</v>
      </c>
      <c r="K63" s="50" t="s">
        <v>0</v>
      </c>
      <c r="L63" s="51" t="s">
        <v>58</v>
      </c>
    </row>
    <row r="64" spans="1:12" s="188" customFormat="1" x14ac:dyDescent="0.3">
      <c r="A64" s="72" t="s">
        <v>64</v>
      </c>
      <c r="B64" s="382">
        <f>IF(E64="N",0,Base!B60-Option2!I64)</f>
        <v>0</v>
      </c>
      <c r="C64" s="382">
        <f>IF(E64="N",0,Base!C60-Option2!J64)</f>
        <v>0</v>
      </c>
      <c r="D64" s="382">
        <f>IF(E64="N",0,Base!D60-Option2!K64)</f>
        <v>0</v>
      </c>
      <c r="E64" s="179" t="str">
        <f>E36</f>
        <v>N</v>
      </c>
      <c r="F64" s="52">
        <f>IF(OR(E64="Y",E64="Y1",E64="Y2"),D64*$G$5,0)</f>
        <v>0</v>
      </c>
      <c r="H64" s="72" t="s">
        <v>64</v>
      </c>
      <c r="I64" s="40">
        <v>523.51</v>
      </c>
      <c r="J64" s="40">
        <v>8619.2799999999988</v>
      </c>
      <c r="K64" s="40">
        <v>7213.3043199999993</v>
      </c>
      <c r="L64" s="40">
        <f t="shared" ref="L64:L73" si="12">K64*$G$5</f>
        <v>446864.20262399997</v>
      </c>
    </row>
    <row r="65" spans="1:15" s="188" customFormat="1" x14ac:dyDescent="0.3">
      <c r="A65" s="72" t="s">
        <v>65</v>
      </c>
      <c r="B65" s="382">
        <f>IF(E65="N",0,Base!B61-Option2!I65)</f>
        <v>0</v>
      </c>
      <c r="C65" s="382">
        <f>IF(E65="N",0,Base!C61-Option2!J65)</f>
        <v>0</v>
      </c>
      <c r="D65" s="382">
        <f>IF(E65="N",0,Base!D61-Option2!K65)</f>
        <v>0</v>
      </c>
      <c r="E65" s="179" t="str">
        <f t="shared" ref="E65:E73" si="13">E37</f>
        <v>N</v>
      </c>
      <c r="F65" s="52">
        <f t="shared" ref="F65:F73" si="14">IF(OR(E65="Y",E65="Y1",E65="Y2"),D65*$G$5,0)</f>
        <v>0</v>
      </c>
      <c r="H65" s="72" t="s">
        <v>65</v>
      </c>
      <c r="I65" s="40">
        <v>546.66</v>
      </c>
      <c r="J65" s="40">
        <v>8755.49</v>
      </c>
      <c r="K65" s="40">
        <v>7261.9853599999997</v>
      </c>
      <c r="L65" s="40">
        <f t="shared" si="12"/>
        <v>449879.99305200001</v>
      </c>
    </row>
    <row r="66" spans="1:15" s="188" customFormat="1" x14ac:dyDescent="0.3">
      <c r="A66" s="72" t="s">
        <v>66</v>
      </c>
      <c r="B66" s="382">
        <f>IF(E66="N",0,Base!B62-Option2!I66)</f>
        <v>0</v>
      </c>
      <c r="C66" s="382">
        <f>IF(E66="N",0,Base!C62-Option2!J66)</f>
        <v>0</v>
      </c>
      <c r="D66" s="382">
        <f>IF(E66="N",0,Base!D62-Option2!K66)</f>
        <v>0</v>
      </c>
      <c r="E66" s="179" t="str">
        <f t="shared" si="13"/>
        <v>N</v>
      </c>
      <c r="F66" s="52">
        <f t="shared" si="14"/>
        <v>0</v>
      </c>
      <c r="H66" s="72" t="s">
        <v>66</v>
      </c>
      <c r="I66" s="40">
        <v>563.01</v>
      </c>
      <c r="J66" s="40">
        <v>8863.23</v>
      </c>
      <c r="K66" s="40">
        <v>7330.2204000000002</v>
      </c>
      <c r="L66" s="40">
        <f t="shared" si="12"/>
        <v>454107.15378000005</v>
      </c>
    </row>
    <row r="67" spans="1:15" s="188" customFormat="1" x14ac:dyDescent="0.3">
      <c r="A67" s="72" t="s">
        <v>67</v>
      </c>
      <c r="B67" s="382">
        <f>IF(E67="N",0,Base!B63-Option2!I67)</f>
        <v>0</v>
      </c>
      <c r="C67" s="382">
        <f>IF(E67="N",0,Base!C63-Option2!J67)</f>
        <v>0</v>
      </c>
      <c r="D67" s="382">
        <f>IF(E67="N",0,Base!D63-Option2!K67)</f>
        <v>0</v>
      </c>
      <c r="E67" s="179" t="str">
        <f t="shared" si="13"/>
        <v>N</v>
      </c>
      <c r="F67" s="52">
        <f t="shared" si="14"/>
        <v>0</v>
      </c>
      <c r="H67" s="72" t="s">
        <v>67</v>
      </c>
      <c r="I67" s="40">
        <v>576.21</v>
      </c>
      <c r="J67" s="40">
        <v>8913.7900000000009</v>
      </c>
      <c r="K67" s="40">
        <v>7333.5498400000015</v>
      </c>
      <c r="L67" s="40">
        <f t="shared" si="12"/>
        <v>454313.41258800012</v>
      </c>
    </row>
    <row r="68" spans="1:15" s="188" customFormat="1" x14ac:dyDescent="0.3">
      <c r="A68" s="72" t="s">
        <v>68</v>
      </c>
      <c r="B68" s="382">
        <f>IF(E68="N",0,Base!B64-Option2!I68)</f>
        <v>0</v>
      </c>
      <c r="C68" s="382">
        <f>IF(E68="N",0,Base!C64-Option2!J68)</f>
        <v>0</v>
      </c>
      <c r="D68" s="382">
        <f>IF(E68="N",0,Base!D64-Option2!K68)</f>
        <v>0</v>
      </c>
      <c r="E68" s="179" t="str">
        <f t="shared" si="13"/>
        <v>N</v>
      </c>
      <c r="F68" s="52">
        <f t="shared" si="14"/>
        <v>0</v>
      </c>
      <c r="H68" s="72" t="s">
        <v>68</v>
      </c>
      <c r="I68" s="40">
        <v>661.15</v>
      </c>
      <c r="J68" s="40">
        <v>9153.1200000000008</v>
      </c>
      <c r="K68" s="40">
        <v>7437.9532800000006</v>
      </c>
      <c r="L68" s="40">
        <f t="shared" si="12"/>
        <v>460781.20569600008</v>
      </c>
    </row>
    <row r="69" spans="1:15" s="188" customFormat="1" x14ac:dyDescent="0.3">
      <c r="A69" s="72" t="s">
        <v>69</v>
      </c>
      <c r="B69" s="382">
        <f>IF(E69="N",0,Base!B65-Option2!I69)</f>
        <v>0</v>
      </c>
      <c r="C69" s="382">
        <f>IF(E69="N",0,Base!C65-Option2!J69)</f>
        <v>0</v>
      </c>
      <c r="D69" s="382">
        <f>IF(E69="N",0,Base!D65-Option2!K69)</f>
        <v>0</v>
      </c>
      <c r="E69" s="179" t="str">
        <f t="shared" si="13"/>
        <v>N</v>
      </c>
      <c r="F69" s="52">
        <f t="shared" si="14"/>
        <v>0</v>
      </c>
      <c r="H69" s="72" t="s">
        <v>69</v>
      </c>
      <c r="I69" s="40">
        <v>741.1500000000002</v>
      </c>
      <c r="J69" s="40">
        <v>9524.010000000002</v>
      </c>
      <c r="K69" s="40">
        <v>7652.9531999999999</v>
      </c>
      <c r="L69" s="40">
        <f t="shared" si="12"/>
        <v>474100.45074</v>
      </c>
    </row>
    <row r="70" spans="1:15" s="188" customFormat="1" x14ac:dyDescent="0.3">
      <c r="A70" s="72" t="s">
        <v>70</v>
      </c>
      <c r="B70" s="382">
        <f>IF(E70="N",0,Base!B66-Option2!I70)</f>
        <v>284.59000000000026</v>
      </c>
      <c r="C70" s="382">
        <f>IF(E70="N",0,Base!C66-Option2!J70)</f>
        <v>1133.1200000000008</v>
      </c>
      <c r="D70" s="382">
        <f>IF(E70="N",0,Base!D66-Option2!K70)</f>
        <v>708.70615999999973</v>
      </c>
      <c r="E70" s="179" t="str">
        <f t="shared" si="13"/>
        <v>Y</v>
      </c>
      <c r="F70" s="52">
        <f t="shared" si="14"/>
        <v>43904.346611999987</v>
      </c>
      <c r="H70" s="72" t="s">
        <v>70</v>
      </c>
      <c r="I70" s="40">
        <v>782.96999999999991</v>
      </c>
      <c r="J70" s="40">
        <v>9911.619999999999</v>
      </c>
      <c r="K70" s="40">
        <v>7822.2279999999992</v>
      </c>
      <c r="L70" s="40">
        <f t="shared" si="12"/>
        <v>484587.02459999995</v>
      </c>
    </row>
    <row r="71" spans="1:15" s="188" customFormat="1" x14ac:dyDescent="0.3">
      <c r="A71" s="72" t="s">
        <v>71</v>
      </c>
      <c r="B71" s="382">
        <f>IF(E71="N",0,Base!B67-Option2!I71)</f>
        <v>270.65999999999997</v>
      </c>
      <c r="C71" s="382">
        <f>IF(E71="N",0,Base!C67-Option2!J71)</f>
        <v>1153.08</v>
      </c>
      <c r="D71" s="382">
        <f>IF(E71="N",0,Base!D67-Option2!K71)</f>
        <v>723.88463999999931</v>
      </c>
      <c r="E71" s="179" t="str">
        <f t="shared" si="13"/>
        <v>Y</v>
      </c>
      <c r="F71" s="52">
        <f t="shared" si="14"/>
        <v>44844.653447999961</v>
      </c>
      <c r="H71" s="72" t="s">
        <v>71</v>
      </c>
      <c r="I71" s="40">
        <v>828.45999999999992</v>
      </c>
      <c r="J71" s="40">
        <v>10381.530000000001</v>
      </c>
      <c r="K71" s="40">
        <v>8040.2625600000001</v>
      </c>
      <c r="L71" s="40">
        <f t="shared" si="12"/>
        <v>498094.26559200004</v>
      </c>
    </row>
    <row r="72" spans="1:15" s="188" customFormat="1" x14ac:dyDescent="0.3">
      <c r="A72" s="72" t="s">
        <v>72</v>
      </c>
      <c r="B72" s="382">
        <f>IF(E72="N",0,Base!B68-Option2!I72)</f>
        <v>284.90000000000009</v>
      </c>
      <c r="C72" s="382">
        <f>IF(E72="N",0,Base!C68-Option2!J72)</f>
        <v>946.70999999999913</v>
      </c>
      <c r="D72" s="382">
        <f>IF(E72="N",0,Base!D68-Option2!K72)</f>
        <v>591.26975999999831</v>
      </c>
      <c r="E72" s="179" t="str">
        <f t="shared" si="13"/>
        <v>Y</v>
      </c>
      <c r="F72" s="52">
        <f t="shared" si="14"/>
        <v>36629.161631999894</v>
      </c>
      <c r="H72" s="72" t="s">
        <v>72</v>
      </c>
      <c r="I72" s="40">
        <v>758.18000000000006</v>
      </c>
      <c r="J72" s="40">
        <v>10544.13</v>
      </c>
      <c r="K72" s="40">
        <v>7975.6812</v>
      </c>
      <c r="L72" s="40">
        <f t="shared" si="12"/>
        <v>494093.45034000004</v>
      </c>
    </row>
    <row r="73" spans="1:15" s="188" customFormat="1" x14ac:dyDescent="0.3">
      <c r="A73" s="72" t="s">
        <v>73</v>
      </c>
      <c r="B73" s="382">
        <f>IF(E73="N",0,Base!B69-Option2!I73)</f>
        <v>299.37</v>
      </c>
      <c r="C73" s="382">
        <f>IF(E73="N",0,Base!C69-Option2!J73)</f>
        <v>1123.67</v>
      </c>
      <c r="D73" s="382">
        <f>IF(E73="N",0,Base!D69-Option2!K73)</f>
        <v>692.08040000000074</v>
      </c>
      <c r="E73" s="179" t="str">
        <f t="shared" si="13"/>
        <v>Y</v>
      </c>
      <c r="F73" s="52">
        <f t="shared" si="14"/>
        <v>42874.38078000005</v>
      </c>
      <c r="H73" s="72" t="s">
        <v>73</v>
      </c>
      <c r="I73" s="40">
        <v>784.75000000000011</v>
      </c>
      <c r="J73" s="40">
        <v>11378.859999999999</v>
      </c>
      <c r="K73" s="40">
        <v>8246.1083199999994</v>
      </c>
      <c r="L73" s="40">
        <f t="shared" si="12"/>
        <v>510846.410424</v>
      </c>
    </row>
    <row r="74" spans="1:15" s="188" customFormat="1" ht="15" thickBot="1" x14ac:dyDescent="0.35">
      <c r="E74" s="60">
        <f>SUM(COUNTIF(E64:E73,{"Y","Y1","Y2"}))</f>
        <v>4</v>
      </c>
      <c r="F74" s="62">
        <f>-PV($G$6,$G$7-E74,F73)</f>
        <v>414874.2953407332</v>
      </c>
      <c r="G74" s="55" t="s">
        <v>11</v>
      </c>
    </row>
    <row r="75" spans="1:15" s="188" customFormat="1" ht="15" thickTop="1" x14ac:dyDescent="0.3"/>
    <row r="76" spans="1:15" s="188" customFormat="1" ht="15.6" x14ac:dyDescent="0.3">
      <c r="A76" s="409" t="s">
        <v>54</v>
      </c>
      <c r="B76" s="410"/>
      <c r="C76" s="410"/>
      <c r="D76" s="410"/>
      <c r="E76" s="410"/>
      <c r="F76" s="411"/>
      <c r="H76" s="406" t="s">
        <v>62</v>
      </c>
      <c r="I76" s="406"/>
      <c r="J76" s="406"/>
      <c r="K76" s="406"/>
      <c r="L76" s="406"/>
    </row>
    <row r="77" spans="1:15" s="188" customFormat="1" ht="57.6" x14ac:dyDescent="0.3">
      <c r="A77" s="178" t="s">
        <v>5</v>
      </c>
      <c r="B77" s="51" t="s">
        <v>151</v>
      </c>
      <c r="C77" s="51" t="s">
        <v>152</v>
      </c>
      <c r="D77" s="51" t="s">
        <v>153</v>
      </c>
      <c r="E77" s="51" t="s">
        <v>12</v>
      </c>
      <c r="F77" s="51" t="s">
        <v>134</v>
      </c>
      <c r="H77" s="178" t="s">
        <v>5</v>
      </c>
      <c r="I77" s="51" t="s">
        <v>75</v>
      </c>
      <c r="J77" s="51" t="s">
        <v>51</v>
      </c>
      <c r="K77" s="50" t="s">
        <v>0</v>
      </c>
      <c r="L77" s="51" t="s">
        <v>58</v>
      </c>
    </row>
    <row r="78" spans="1:15" s="188" customFormat="1" x14ac:dyDescent="0.3">
      <c r="A78" s="72" t="s">
        <v>64</v>
      </c>
      <c r="B78" s="382">
        <f>IF(E78="N",0,Base!B74-Option2!I78)</f>
        <v>0</v>
      </c>
      <c r="C78" s="382">
        <f>IF(E78="N",0,Base!C74-Option2!J78)</f>
        <v>0</v>
      </c>
      <c r="D78" s="382">
        <f>IF(E78="N",0,Base!D74-Option2!K78)</f>
        <v>0</v>
      </c>
      <c r="E78" s="179" t="str">
        <f>E36</f>
        <v>N</v>
      </c>
      <c r="F78" s="52">
        <f>IF(OR(E78="Y",E78="Y1",E78="Y2"),D78*$G$5,0)</f>
        <v>0</v>
      </c>
      <c r="H78" s="72" t="s">
        <v>64</v>
      </c>
      <c r="I78" s="40">
        <v>523.51</v>
      </c>
      <c r="J78" s="40">
        <v>8619.2799999999988</v>
      </c>
      <c r="K78" s="40">
        <v>7213.3043199999993</v>
      </c>
      <c r="L78" s="40">
        <f t="shared" ref="L78:L87" si="15">K78*$G$5</f>
        <v>446864.20262399997</v>
      </c>
    </row>
    <row r="79" spans="1:15" s="188" customFormat="1" x14ac:dyDescent="0.3">
      <c r="A79" s="72" t="s">
        <v>65</v>
      </c>
      <c r="B79" s="382">
        <f>IF(E79="N",0,Base!B75-Option2!I79)</f>
        <v>0</v>
      </c>
      <c r="C79" s="382">
        <f>IF(E79="N",0,Base!C75-Option2!J79)</f>
        <v>0</v>
      </c>
      <c r="D79" s="382">
        <f>IF(E79="N",0,Base!D75-Option2!K79)</f>
        <v>0</v>
      </c>
      <c r="E79" s="179" t="str">
        <f t="shared" ref="E79:E87" si="16">E37</f>
        <v>N</v>
      </c>
      <c r="F79" s="52">
        <f t="shared" ref="F79:F87" si="17">IF(OR(E79="Y",E79="Y1",E79="Y2"),D79*$G$5,0)</f>
        <v>0</v>
      </c>
      <c r="H79" s="72" t="s">
        <v>65</v>
      </c>
      <c r="I79" s="40">
        <v>543.04999999999995</v>
      </c>
      <c r="J79" s="40">
        <v>8751.2800000000007</v>
      </c>
      <c r="K79" s="40">
        <v>7263.1484799999998</v>
      </c>
      <c r="L79" s="40">
        <f t="shared" si="15"/>
        <v>449952.04833600001</v>
      </c>
    </row>
    <row r="80" spans="1:15" s="188" customFormat="1" x14ac:dyDescent="0.3">
      <c r="A80" s="72" t="s">
        <v>66</v>
      </c>
      <c r="B80" s="382">
        <f>IF(E80="N",0,Base!B76-Option2!I80)</f>
        <v>0</v>
      </c>
      <c r="C80" s="382">
        <f>IF(E80="N",0,Base!C76-Option2!J80)</f>
        <v>0</v>
      </c>
      <c r="D80" s="382">
        <f>IF(E80="N",0,Base!D76-Option2!K80)</f>
        <v>0</v>
      </c>
      <c r="E80" s="179" t="str">
        <f t="shared" si="16"/>
        <v>N</v>
      </c>
      <c r="F80" s="52">
        <f t="shared" si="17"/>
        <v>0</v>
      </c>
      <c r="H80" s="72" t="s">
        <v>66</v>
      </c>
      <c r="I80" s="40">
        <v>562.4</v>
      </c>
      <c r="J80" s="40">
        <v>8861.67</v>
      </c>
      <c r="K80" s="40">
        <v>7329.9201599999997</v>
      </c>
      <c r="L80" s="40">
        <f t="shared" si="15"/>
        <v>454088.55391199997</v>
      </c>
      <c r="N80" s="39"/>
      <c r="O80" s="39"/>
    </row>
    <row r="81" spans="1:15" s="188" customFormat="1" x14ac:dyDescent="0.3">
      <c r="A81" s="72" t="s">
        <v>67</v>
      </c>
      <c r="B81" s="382">
        <f>IF(E81="N",0,Base!B77-Option2!I81)</f>
        <v>0</v>
      </c>
      <c r="C81" s="382">
        <f>IF(E81="N",0,Base!C77-Option2!J81)</f>
        <v>0</v>
      </c>
      <c r="D81" s="382">
        <f>IF(E81="N",0,Base!D77-Option2!K81)</f>
        <v>0</v>
      </c>
      <c r="E81" s="179" t="str">
        <f t="shared" si="16"/>
        <v>N</v>
      </c>
      <c r="F81" s="52">
        <f t="shared" si="17"/>
        <v>0</v>
      </c>
      <c r="H81" s="72" t="s">
        <v>67</v>
      </c>
      <c r="I81" s="40">
        <v>618.06999999999994</v>
      </c>
      <c r="J81" s="40">
        <v>9072.3200000000015</v>
      </c>
      <c r="K81" s="40">
        <v>7472.4456800000007</v>
      </c>
      <c r="L81" s="40">
        <f t="shared" si="15"/>
        <v>462918.00987600005</v>
      </c>
      <c r="N81" s="45"/>
      <c r="O81" s="54"/>
    </row>
    <row r="82" spans="1:15" s="188" customFormat="1" x14ac:dyDescent="0.3">
      <c r="A82" s="72" t="s">
        <v>68</v>
      </c>
      <c r="B82" s="382">
        <f>IF(E82="N",0,Base!B78-Option2!I82)</f>
        <v>0</v>
      </c>
      <c r="C82" s="382">
        <f>IF(E82="N",0,Base!C78-Option2!J82)</f>
        <v>0</v>
      </c>
      <c r="D82" s="382">
        <f>IF(E82="N",0,Base!D78-Option2!K82)</f>
        <v>0</v>
      </c>
      <c r="E82" s="179" t="str">
        <f t="shared" si="16"/>
        <v>N</v>
      </c>
      <c r="F82" s="52">
        <f t="shared" si="17"/>
        <v>0</v>
      </c>
      <c r="H82" s="72" t="s">
        <v>68</v>
      </c>
      <c r="I82" s="40">
        <v>922.7</v>
      </c>
      <c r="J82" s="40">
        <v>9610.9699999999993</v>
      </c>
      <c r="K82" s="40">
        <v>7713.5069599999988</v>
      </c>
      <c r="L82" s="40">
        <f t="shared" si="15"/>
        <v>477851.75617199996</v>
      </c>
      <c r="N82" s="45"/>
      <c r="O82" s="54"/>
    </row>
    <row r="83" spans="1:15" s="188" customFormat="1" x14ac:dyDescent="0.3">
      <c r="A83" s="72" t="s">
        <v>69</v>
      </c>
      <c r="B83" s="382">
        <f>IF(E83="N",0,Base!B79-Option2!I83)</f>
        <v>0</v>
      </c>
      <c r="C83" s="382">
        <f>IF(E83="N",0,Base!C79-Option2!J83)</f>
        <v>0</v>
      </c>
      <c r="D83" s="382">
        <f>IF(E83="N",0,Base!D79-Option2!K83)</f>
        <v>0</v>
      </c>
      <c r="E83" s="179" t="str">
        <f t="shared" si="16"/>
        <v>N</v>
      </c>
      <c r="F83" s="52">
        <f t="shared" si="17"/>
        <v>0</v>
      </c>
      <c r="H83" s="72" t="s">
        <v>69</v>
      </c>
      <c r="I83" s="40">
        <v>981.30000000000007</v>
      </c>
      <c r="J83" s="40">
        <v>10010.86</v>
      </c>
      <c r="K83" s="40">
        <v>7970.9605600000004</v>
      </c>
      <c r="L83" s="40">
        <f t="shared" si="15"/>
        <v>493801.00669200002</v>
      </c>
      <c r="N83" s="39"/>
      <c r="O83" s="39"/>
    </row>
    <row r="84" spans="1:15" s="188" customFormat="1" x14ac:dyDescent="0.3">
      <c r="A84" s="72" t="s">
        <v>70</v>
      </c>
      <c r="B84" s="382">
        <f>IF(E84="N",0,Base!B80-Option2!I84)</f>
        <v>143.26</v>
      </c>
      <c r="C84" s="382">
        <f>IF(E84="N",0,Base!C80-Option2!J84)</f>
        <v>1843.1299999999974</v>
      </c>
      <c r="D84" s="382">
        <f>IF(E84="N",0,Base!D80-Option2!K84)</f>
        <v>1155.377599999998</v>
      </c>
      <c r="E84" s="179" t="str">
        <f t="shared" si="16"/>
        <v>Y</v>
      </c>
      <c r="F84" s="52">
        <f t="shared" si="17"/>
        <v>71575.642319999883</v>
      </c>
      <c r="H84" s="72" t="s">
        <v>70</v>
      </c>
      <c r="I84" s="40">
        <v>981.38999999999987</v>
      </c>
      <c r="J84" s="40">
        <v>10255.41</v>
      </c>
      <c r="K84" s="40">
        <v>8065.3485600000004</v>
      </c>
      <c r="L84" s="40">
        <f t="shared" si="15"/>
        <v>499648.34329200006</v>
      </c>
      <c r="N84" s="39"/>
      <c r="O84" s="39"/>
    </row>
    <row r="85" spans="1:15" s="188" customFormat="1" x14ac:dyDescent="0.3">
      <c r="A85" s="72" t="s">
        <v>71</v>
      </c>
      <c r="B85" s="382">
        <f>IF(E85="N",0,Base!B81-Option2!I85)</f>
        <v>298.16000000000008</v>
      </c>
      <c r="C85" s="382">
        <f>IF(E85="N",0,Base!C81-Option2!J85)</f>
        <v>2051.850000000004</v>
      </c>
      <c r="D85" s="382">
        <f>IF(E85="N",0,Base!D81-Option2!K85)</f>
        <v>1258.4378400000023</v>
      </c>
      <c r="E85" s="179" t="str">
        <f t="shared" si="16"/>
        <v>Y</v>
      </c>
      <c r="F85" s="52">
        <f t="shared" si="17"/>
        <v>77960.224188000153</v>
      </c>
      <c r="H85" s="72" t="s">
        <v>71</v>
      </c>
      <c r="I85" s="40">
        <v>1004.8199999999999</v>
      </c>
      <c r="J85" s="40">
        <v>10670.22</v>
      </c>
      <c r="K85" s="40">
        <v>8233.8859199999988</v>
      </c>
      <c r="L85" s="40">
        <f t="shared" si="15"/>
        <v>510089.23274399992</v>
      </c>
      <c r="N85" s="39"/>
      <c r="O85" s="39"/>
    </row>
    <row r="86" spans="1:15" s="188" customFormat="1" x14ac:dyDescent="0.3">
      <c r="A86" s="72" t="s">
        <v>72</v>
      </c>
      <c r="B86" s="382">
        <f>IF(E86="N",0,Base!B82-Option2!I86)</f>
        <v>229.52000000000021</v>
      </c>
      <c r="C86" s="382">
        <f>IF(E86="N",0,Base!C82-Option2!J86)</f>
        <v>2190.1499999999996</v>
      </c>
      <c r="D86" s="382">
        <f>IF(E86="N",0,Base!D82-Option2!K86)</f>
        <v>1349.0339999999997</v>
      </c>
      <c r="E86" s="179" t="str">
        <f t="shared" si="16"/>
        <v>Y</v>
      </c>
      <c r="F86" s="52">
        <f t="shared" si="17"/>
        <v>83572.656299999988</v>
      </c>
      <c r="H86" s="72" t="s">
        <v>72</v>
      </c>
      <c r="I86" s="40">
        <v>980.95</v>
      </c>
      <c r="J86" s="40">
        <v>11127.48</v>
      </c>
      <c r="K86" s="40">
        <v>8446.9403999999995</v>
      </c>
      <c r="L86" s="40">
        <f t="shared" si="15"/>
        <v>523287.95778</v>
      </c>
    </row>
    <row r="87" spans="1:15" s="188" customFormat="1" x14ac:dyDescent="0.3">
      <c r="A87" s="72" t="s">
        <v>73</v>
      </c>
      <c r="B87" s="382">
        <f>IF(E87="N",0,Base!B83-Option2!I87)</f>
        <v>330.26999999999975</v>
      </c>
      <c r="C87" s="382">
        <f>IF(E87="N",0,Base!C83-Option2!J87)</f>
        <v>2787.25</v>
      </c>
      <c r="D87" s="382">
        <f>IF(E87="N",0,Base!D83-Option2!K87)</f>
        <v>1694.6761600000009</v>
      </c>
      <c r="E87" s="179" t="str">
        <f t="shared" si="16"/>
        <v>Y</v>
      </c>
      <c r="F87" s="52">
        <f t="shared" si="17"/>
        <v>104985.18811200006</v>
      </c>
      <c r="H87" s="72" t="s">
        <v>73</v>
      </c>
      <c r="I87" s="40">
        <v>1073.45</v>
      </c>
      <c r="J87" s="40">
        <v>12153.059999999998</v>
      </c>
      <c r="K87" s="40">
        <v>8808.0352799999982</v>
      </c>
      <c r="L87" s="40">
        <f t="shared" si="15"/>
        <v>545657.78559599991</v>
      </c>
    </row>
    <row r="88" spans="1:15" s="188" customFormat="1" ht="15" thickBot="1" x14ac:dyDescent="0.35">
      <c r="E88" s="60">
        <f>SUM(COUNTIF(E78:E87,{"Y","Y1","Y2"}))</f>
        <v>4</v>
      </c>
      <c r="F88" s="62">
        <f>-PV($G$6,$G$7-E88,F87)</f>
        <v>1015890.0291219621</v>
      </c>
      <c r="G88" s="55" t="s">
        <v>11</v>
      </c>
    </row>
    <row r="89" spans="1:15" s="188" customFormat="1" ht="15" thickTop="1" x14ac:dyDescent="0.3"/>
    <row r="90" spans="1:15" s="188" customFormat="1" ht="15.6" x14ac:dyDescent="0.3">
      <c r="A90" s="409" t="s">
        <v>53</v>
      </c>
      <c r="B90" s="410"/>
      <c r="C90" s="410"/>
      <c r="D90" s="410"/>
      <c r="E90" s="410"/>
      <c r="F90" s="411"/>
      <c r="H90" s="406" t="s">
        <v>63</v>
      </c>
      <c r="I90" s="406"/>
      <c r="J90" s="406"/>
      <c r="K90" s="406"/>
      <c r="L90" s="406"/>
    </row>
    <row r="91" spans="1:15" s="188" customFormat="1" ht="57.6" x14ac:dyDescent="0.3">
      <c r="A91" s="178" t="s">
        <v>5</v>
      </c>
      <c r="B91" s="51" t="s">
        <v>151</v>
      </c>
      <c r="C91" s="51" t="s">
        <v>152</v>
      </c>
      <c r="D91" s="51" t="s">
        <v>153</v>
      </c>
      <c r="E91" s="51" t="s">
        <v>12</v>
      </c>
      <c r="F91" s="51" t="s">
        <v>134</v>
      </c>
      <c r="H91" s="178" t="s">
        <v>5</v>
      </c>
      <c r="I91" s="51" t="s">
        <v>75</v>
      </c>
      <c r="J91" s="51" t="s">
        <v>51</v>
      </c>
      <c r="K91" s="50" t="s">
        <v>0</v>
      </c>
      <c r="L91" s="51" t="s">
        <v>58</v>
      </c>
    </row>
    <row r="92" spans="1:15" s="188" customFormat="1" x14ac:dyDescent="0.3">
      <c r="A92" s="72" t="s">
        <v>64</v>
      </c>
      <c r="B92" s="382">
        <f>IF(E92="N",0,Base!B88-Option2!I92)</f>
        <v>0</v>
      </c>
      <c r="C92" s="382">
        <f>IF(E92="N",0,Base!C88-Option2!J92)</f>
        <v>0</v>
      </c>
      <c r="D92" s="382">
        <f>IF(E92="N",0,Base!D88-Option2!K92)</f>
        <v>0</v>
      </c>
      <c r="E92" s="179" t="str">
        <f>E36</f>
        <v>N</v>
      </c>
      <c r="F92" s="52">
        <f>IF(OR(E92="Y",E92="Y1",E92="Y2"),D92*$G$5,0)</f>
        <v>0</v>
      </c>
      <c r="H92" s="72" t="s">
        <v>64</v>
      </c>
      <c r="I92" s="40">
        <v>552.92999999999995</v>
      </c>
      <c r="J92" s="40">
        <v>8766.4100000000017</v>
      </c>
      <c r="K92" s="40">
        <v>7323.46976</v>
      </c>
      <c r="L92" s="40">
        <f t="shared" ref="L92:L101" si="18">K92*$G$5</f>
        <v>453688.95163200004</v>
      </c>
    </row>
    <row r="93" spans="1:15" s="188" customFormat="1" x14ac:dyDescent="0.3">
      <c r="A93" s="72" t="s">
        <v>65</v>
      </c>
      <c r="B93" s="382">
        <f>IF(E93="N",0,Base!B89-Option2!I93)</f>
        <v>0</v>
      </c>
      <c r="C93" s="382">
        <f>IF(E93="N",0,Base!C89-Option2!J93)</f>
        <v>0</v>
      </c>
      <c r="D93" s="382">
        <f>IF(E93="N",0,Base!D89-Option2!K93)</f>
        <v>0</v>
      </c>
      <c r="E93" s="179" t="str">
        <f t="shared" ref="E93:E101" si="19">E37</f>
        <v>N</v>
      </c>
      <c r="F93" s="52">
        <f t="shared" ref="F93:F101" si="20">IF(OR(E93="Y",E93="Y1",E93="Y2"),D93*$G$5,0)</f>
        <v>0</v>
      </c>
      <c r="H93" s="72" t="s">
        <v>65</v>
      </c>
      <c r="I93" s="40">
        <v>582.74</v>
      </c>
      <c r="J93" s="40">
        <v>8884.880000000001</v>
      </c>
      <c r="K93" s="40">
        <v>7311.1822399999992</v>
      </c>
      <c r="L93" s="40">
        <f t="shared" si="18"/>
        <v>452927.73976799997</v>
      </c>
    </row>
    <row r="94" spans="1:15" s="188" customFormat="1" x14ac:dyDescent="0.3">
      <c r="A94" s="72" t="s">
        <v>66</v>
      </c>
      <c r="B94" s="382">
        <f>IF(E94="N",0,Base!B90-Option2!I94)</f>
        <v>0</v>
      </c>
      <c r="C94" s="382">
        <f>IF(E94="N",0,Base!C90-Option2!J94)</f>
        <v>0</v>
      </c>
      <c r="D94" s="382">
        <f>IF(E94="N",0,Base!D90-Option2!K94)</f>
        <v>0</v>
      </c>
      <c r="E94" s="179" t="str">
        <f t="shared" si="19"/>
        <v>N</v>
      </c>
      <c r="F94" s="52">
        <f t="shared" si="20"/>
        <v>0</v>
      </c>
      <c r="H94" s="72" t="s">
        <v>66</v>
      </c>
      <c r="I94" s="40">
        <v>642.93000000000006</v>
      </c>
      <c r="J94" s="40">
        <v>9264.2400000000016</v>
      </c>
      <c r="K94" s="40">
        <v>7541.8835999999992</v>
      </c>
      <c r="L94" s="40">
        <f t="shared" si="18"/>
        <v>467219.68901999999</v>
      </c>
    </row>
    <row r="95" spans="1:15" s="188" customFormat="1" x14ac:dyDescent="0.3">
      <c r="A95" s="72" t="s">
        <v>67</v>
      </c>
      <c r="B95" s="382">
        <f>IF(E95="N",0,Base!B91-Option2!I95)</f>
        <v>0</v>
      </c>
      <c r="C95" s="382">
        <f>IF(E95="N",0,Base!C91-Option2!J95)</f>
        <v>0</v>
      </c>
      <c r="D95" s="382">
        <f>IF(E95="N",0,Base!D91-Option2!K95)</f>
        <v>0</v>
      </c>
      <c r="E95" s="179" t="str">
        <f t="shared" si="19"/>
        <v>N</v>
      </c>
      <c r="F95" s="52">
        <f t="shared" si="20"/>
        <v>0</v>
      </c>
      <c r="H95" s="72" t="s">
        <v>67</v>
      </c>
      <c r="I95" s="40">
        <v>693.13</v>
      </c>
      <c r="J95" s="40">
        <v>9445.49</v>
      </c>
      <c r="K95" s="40">
        <v>7579.2007999999987</v>
      </c>
      <c r="L95" s="40">
        <f t="shared" si="18"/>
        <v>469531.48955999996</v>
      </c>
    </row>
    <row r="96" spans="1:15" s="188" customFormat="1" x14ac:dyDescent="0.3">
      <c r="A96" s="72" t="s">
        <v>68</v>
      </c>
      <c r="B96" s="382">
        <f>IF(E96="N",0,Base!B92-Option2!I96)</f>
        <v>0</v>
      </c>
      <c r="C96" s="382">
        <f>IF(E96="N",0,Base!C92-Option2!J96)</f>
        <v>0</v>
      </c>
      <c r="D96" s="382">
        <f>IF(E96="N",0,Base!D92-Option2!K96)</f>
        <v>0</v>
      </c>
      <c r="E96" s="179" t="str">
        <f t="shared" si="19"/>
        <v>N</v>
      </c>
      <c r="F96" s="52">
        <f t="shared" si="20"/>
        <v>0</v>
      </c>
      <c r="H96" s="72" t="s">
        <v>68</v>
      </c>
      <c r="I96" s="40">
        <v>775.63</v>
      </c>
      <c r="J96" s="40">
        <v>9762.39</v>
      </c>
      <c r="K96" s="40">
        <v>7655.7650400000002</v>
      </c>
      <c r="L96" s="40">
        <f t="shared" si="18"/>
        <v>474274.64422800002</v>
      </c>
    </row>
    <row r="97" spans="1:12" s="188" customFormat="1" x14ac:dyDescent="0.3">
      <c r="A97" s="72" t="s">
        <v>69</v>
      </c>
      <c r="B97" s="382">
        <f>IF(E97="N",0,Base!B93-Option2!I97)</f>
        <v>0</v>
      </c>
      <c r="C97" s="382">
        <f>IF(E97="N",0,Base!C93-Option2!J97)</f>
        <v>0</v>
      </c>
      <c r="D97" s="382">
        <f>IF(E97="N",0,Base!D93-Option2!K97)</f>
        <v>0</v>
      </c>
      <c r="E97" s="179" t="str">
        <f t="shared" si="19"/>
        <v>N</v>
      </c>
      <c r="F97" s="52">
        <f t="shared" si="20"/>
        <v>0</v>
      </c>
      <c r="H97" s="72" t="s">
        <v>69</v>
      </c>
      <c r="I97" s="40">
        <v>874.64</v>
      </c>
      <c r="J97" s="40">
        <v>10424.090000000002</v>
      </c>
      <c r="K97" s="40">
        <v>7972.7988800000012</v>
      </c>
      <c r="L97" s="40">
        <f t="shared" si="18"/>
        <v>493914.89061600011</v>
      </c>
    </row>
    <row r="98" spans="1:12" s="188" customFormat="1" x14ac:dyDescent="0.3">
      <c r="A98" s="72" t="s">
        <v>70</v>
      </c>
      <c r="B98" s="382">
        <f>IF(E98="N",0,Base!B94-Option2!I98)</f>
        <v>139.94000000000028</v>
      </c>
      <c r="C98" s="382">
        <f>IF(E98="N",0,Base!C94-Option2!J98)</f>
        <v>709.5099999999984</v>
      </c>
      <c r="D98" s="382">
        <f>IF(E98="N",0,Base!D94-Option2!K98)</f>
        <v>530.65888000000086</v>
      </c>
      <c r="E98" s="179" t="str">
        <f t="shared" si="19"/>
        <v>Y</v>
      </c>
      <c r="F98" s="52">
        <f t="shared" si="20"/>
        <v>32874.317616000058</v>
      </c>
      <c r="H98" s="72" t="s">
        <v>70</v>
      </c>
      <c r="I98" s="40">
        <v>932.93999999999983</v>
      </c>
      <c r="J98" s="40">
        <v>11571.67</v>
      </c>
      <c r="K98" s="40">
        <v>8472.006159999999</v>
      </c>
      <c r="L98" s="40">
        <f t="shared" si="18"/>
        <v>524840.78161199996</v>
      </c>
    </row>
    <row r="99" spans="1:12" s="188" customFormat="1" x14ac:dyDescent="0.3">
      <c r="A99" s="72" t="s">
        <v>71</v>
      </c>
      <c r="B99" s="382">
        <f>IF(E99="N",0,Base!B95-Option2!I99)</f>
        <v>147.1700000000003</v>
      </c>
      <c r="C99" s="382">
        <f>IF(E99="N",0,Base!C95-Option2!J99)</f>
        <v>810.98000000000138</v>
      </c>
      <c r="D99" s="382">
        <f>IF(E99="N",0,Base!D95-Option2!K99)</f>
        <v>591.96968000000015</v>
      </c>
      <c r="E99" s="179" t="str">
        <f t="shared" si="19"/>
        <v>Y</v>
      </c>
      <c r="F99" s="52">
        <f t="shared" si="20"/>
        <v>36672.521676000011</v>
      </c>
      <c r="H99" s="72" t="s">
        <v>71</v>
      </c>
      <c r="I99" s="40">
        <v>971.26</v>
      </c>
      <c r="J99" s="40">
        <v>12839.299999999997</v>
      </c>
      <c r="K99" s="40">
        <v>8925.4831999999988</v>
      </c>
      <c r="L99" s="40">
        <f t="shared" si="18"/>
        <v>552933.68423999997</v>
      </c>
    </row>
    <row r="100" spans="1:12" s="188" customFormat="1" x14ac:dyDescent="0.3">
      <c r="A100" s="72" t="s">
        <v>72</v>
      </c>
      <c r="B100" s="382">
        <f>IF(E100="N",0,Base!B96-Option2!I100)</f>
        <v>96.349999999999795</v>
      </c>
      <c r="C100" s="382">
        <f>IF(E100="N",0,Base!C96-Option2!J100)</f>
        <v>515.38000000000102</v>
      </c>
      <c r="D100" s="382">
        <f>IF(E100="N",0,Base!D96-Option2!K100)</f>
        <v>368.96247999999832</v>
      </c>
      <c r="E100" s="179" t="str">
        <f t="shared" si="19"/>
        <v>Y</v>
      </c>
      <c r="F100" s="52">
        <f t="shared" si="20"/>
        <v>22857.225635999897</v>
      </c>
      <c r="H100" s="72" t="s">
        <v>72</v>
      </c>
      <c r="I100" s="40">
        <v>975.34</v>
      </c>
      <c r="J100" s="40">
        <v>14322.84</v>
      </c>
      <c r="K100" s="40">
        <v>9392.6543999999994</v>
      </c>
      <c r="L100" s="40">
        <f t="shared" si="18"/>
        <v>581874.94007999997</v>
      </c>
    </row>
    <row r="101" spans="1:12" s="188" customFormat="1" x14ac:dyDescent="0.3">
      <c r="A101" s="72" t="s">
        <v>73</v>
      </c>
      <c r="B101" s="382">
        <f>IF(E101="N",0,Base!B97-Option2!I101)</f>
        <v>105.13999999999987</v>
      </c>
      <c r="C101" s="382">
        <f>IF(E101="N",0,Base!C97-Option2!J101)</f>
        <v>634.17000000000189</v>
      </c>
      <c r="D101" s="382">
        <f>IF(E101="N",0,Base!D97-Option2!K101)</f>
        <v>417.18504000000212</v>
      </c>
      <c r="E101" s="179" t="str">
        <f t="shared" si="19"/>
        <v>Y</v>
      </c>
      <c r="F101" s="52">
        <f t="shared" si="20"/>
        <v>25844.613228000133</v>
      </c>
      <c r="H101" s="72" t="s">
        <v>73</v>
      </c>
      <c r="I101" s="40">
        <v>1077.58</v>
      </c>
      <c r="J101" s="40">
        <v>16575.719999999998</v>
      </c>
      <c r="K101" s="40">
        <v>10280.852399999998</v>
      </c>
      <c r="L101" s="40">
        <f t="shared" si="18"/>
        <v>636898.80617999996</v>
      </c>
    </row>
    <row r="102" spans="1:12" s="188" customFormat="1" ht="15" thickBot="1" x14ac:dyDescent="0.35">
      <c r="E102" s="60">
        <f>SUM(COUNTIF(E92:E101,{"Y","Y1","Y2"}))</f>
        <v>4</v>
      </c>
      <c r="F102" s="62">
        <f>-PV($G$6,$G$7-E102,F101)</f>
        <v>250085.61071328746</v>
      </c>
      <c r="G102" s="55" t="s">
        <v>11</v>
      </c>
    </row>
    <row r="103" spans="1:12" ht="15" thickTop="1" x14ac:dyDescent="0.3"/>
    <row r="104" spans="1:12" x14ac:dyDescent="0.3">
      <c r="A104" s="363" t="s">
        <v>121</v>
      </c>
      <c r="B104" s="357"/>
      <c r="C104" s="357"/>
      <c r="D104" s="357"/>
      <c r="E104" s="357"/>
    </row>
    <row r="105" spans="1:12" x14ac:dyDescent="0.3">
      <c r="A105" s="408" t="s">
        <v>5</v>
      </c>
      <c r="B105" s="72" t="s">
        <v>3</v>
      </c>
      <c r="C105" s="344">
        <f>NPV_Summary!$F$35*Option1a!$G$5+Option1a!$G$5</f>
        <v>74.34</v>
      </c>
      <c r="D105" s="26">
        <f>NPV_Summary!$G$35*Option1a!$G$5+Option1a!$G$5</f>
        <v>49.56</v>
      </c>
      <c r="E105" s="357"/>
    </row>
    <row r="106" spans="1:12" ht="43.2" x14ac:dyDescent="0.3">
      <c r="A106" s="408"/>
      <c r="B106" s="51" t="s">
        <v>12</v>
      </c>
      <c r="C106" s="50" t="s">
        <v>25</v>
      </c>
      <c r="D106" s="50" t="s">
        <v>25</v>
      </c>
      <c r="E106" s="357"/>
    </row>
    <row r="107" spans="1:12" x14ac:dyDescent="0.3">
      <c r="A107" s="362" t="s">
        <v>64</v>
      </c>
      <c r="B107" s="3" t="str">
        <f>H17</f>
        <v>N</v>
      </c>
      <c r="C107" s="5">
        <f>IF(OR(B107="Y",B107="Y1",B107="Y2"),D17*$C$105/1000,0)</f>
        <v>0</v>
      </c>
      <c r="D107" s="5">
        <f>IF(OR(B107="Y",B107="Y1",B107="Y2"),D17*$D$105/1000,0)</f>
        <v>0</v>
      </c>
      <c r="E107" s="357"/>
    </row>
    <row r="108" spans="1:12" x14ac:dyDescent="0.3">
      <c r="A108" s="362" t="s">
        <v>65</v>
      </c>
      <c r="B108" s="3" t="str">
        <f t="shared" ref="B108:B116" si="21">H18</f>
        <v>N</v>
      </c>
      <c r="C108" s="5">
        <f t="shared" ref="C108:C116" si="22">IF(OR(B108="Y",B108="Y1",B108="Y2"),D18*$C$105/1000,0)</f>
        <v>0</v>
      </c>
      <c r="D108" s="5">
        <f t="shared" ref="D108:D116" si="23">IF(OR(B108="Y",B108="Y1",B108="Y2"),D18*$D$105/1000,0)</f>
        <v>0</v>
      </c>
      <c r="E108" s="357"/>
    </row>
    <row r="109" spans="1:12" x14ac:dyDescent="0.3">
      <c r="A109" s="362" t="s">
        <v>66</v>
      </c>
      <c r="B109" s="3" t="str">
        <f t="shared" si="21"/>
        <v>N</v>
      </c>
      <c r="C109" s="5">
        <f t="shared" si="22"/>
        <v>0</v>
      </c>
      <c r="D109" s="5">
        <f t="shared" si="23"/>
        <v>0</v>
      </c>
      <c r="E109" s="357"/>
    </row>
    <row r="110" spans="1:12" x14ac:dyDescent="0.3">
      <c r="A110" s="362" t="s">
        <v>67</v>
      </c>
      <c r="B110" s="3" t="str">
        <f t="shared" si="21"/>
        <v>N</v>
      </c>
      <c r="C110" s="5">
        <f t="shared" si="22"/>
        <v>0</v>
      </c>
      <c r="D110" s="5">
        <f t="shared" si="23"/>
        <v>0</v>
      </c>
      <c r="E110" s="357"/>
    </row>
    <row r="111" spans="1:12" x14ac:dyDescent="0.3">
      <c r="A111" s="362" t="s">
        <v>68</v>
      </c>
      <c r="B111" s="3" t="str">
        <f t="shared" si="21"/>
        <v>N</v>
      </c>
      <c r="C111" s="5">
        <f t="shared" si="22"/>
        <v>0</v>
      </c>
      <c r="D111" s="5">
        <f t="shared" si="23"/>
        <v>0</v>
      </c>
      <c r="E111" s="357"/>
    </row>
    <row r="112" spans="1:12" x14ac:dyDescent="0.3">
      <c r="A112" s="362" t="s">
        <v>69</v>
      </c>
      <c r="B112" s="3" t="str">
        <f t="shared" si="21"/>
        <v>N</v>
      </c>
      <c r="C112" s="5">
        <f t="shared" si="22"/>
        <v>0</v>
      </c>
      <c r="D112" s="5">
        <f t="shared" si="23"/>
        <v>0</v>
      </c>
      <c r="E112" s="357"/>
    </row>
    <row r="113" spans="1:5" x14ac:dyDescent="0.3">
      <c r="A113" s="362" t="s">
        <v>70</v>
      </c>
      <c r="B113" s="3" t="str">
        <f t="shared" si="21"/>
        <v>Y</v>
      </c>
      <c r="C113" s="5">
        <f t="shared" si="22"/>
        <v>70.732115657279991</v>
      </c>
      <c r="D113" s="5">
        <f t="shared" si="23"/>
        <v>47.154743771519996</v>
      </c>
      <c r="E113" s="357"/>
    </row>
    <row r="114" spans="1:5" x14ac:dyDescent="0.3">
      <c r="A114" s="362" t="s">
        <v>71</v>
      </c>
      <c r="B114" s="3" t="str">
        <f t="shared" si="21"/>
        <v>Y</v>
      </c>
      <c r="C114" s="5">
        <f t="shared" si="22"/>
        <v>78.917531293439993</v>
      </c>
      <c r="D114" s="5">
        <f t="shared" si="23"/>
        <v>52.61168752895999</v>
      </c>
      <c r="E114" s="357"/>
    </row>
    <row r="115" spans="1:5" x14ac:dyDescent="0.3">
      <c r="A115" s="362" t="s">
        <v>72</v>
      </c>
      <c r="B115" s="3" t="str">
        <f t="shared" si="21"/>
        <v>Y</v>
      </c>
      <c r="C115" s="5">
        <f t="shared" si="22"/>
        <v>74.060631469439969</v>
      </c>
      <c r="D115" s="5">
        <f t="shared" si="23"/>
        <v>49.373754312959974</v>
      </c>
      <c r="E115" s="357"/>
    </row>
    <row r="116" spans="1:5" x14ac:dyDescent="0.3">
      <c r="A116" s="362" t="s">
        <v>73</v>
      </c>
      <c r="B116" s="3" t="str">
        <f t="shared" si="21"/>
        <v>Y</v>
      </c>
      <c r="C116" s="5">
        <f t="shared" si="22"/>
        <v>92.15548703424011</v>
      </c>
      <c r="D116" s="5">
        <f t="shared" si="23"/>
        <v>61.436991356160078</v>
      </c>
      <c r="E116" s="357"/>
    </row>
    <row r="117" spans="1:5" x14ac:dyDescent="0.3">
      <c r="A117" s="357"/>
      <c r="B117" s="39">
        <f>SUM(COUNTIF(B107:B116,{"Y","Y1","Y2"}))</f>
        <v>4</v>
      </c>
      <c r="C117" s="47">
        <f>-PV($G$6,$G$7-B117,C116)</f>
        <v>891.74332199212211</v>
      </c>
      <c r="D117" s="47">
        <f>-PV($G$6,$G$7-B117,D116)</f>
        <v>594.49554799474811</v>
      </c>
      <c r="E117" s="357" t="s">
        <v>11</v>
      </c>
    </row>
    <row r="118" spans="1:5" ht="15" thickBot="1" x14ac:dyDescent="0.35">
      <c r="A118" s="357"/>
      <c r="B118" s="357"/>
      <c r="C118" s="13">
        <f>NPV($G$6,C107:C115,C116+C117)</f>
        <v>483.85689086466255</v>
      </c>
      <c r="D118" s="13">
        <f>NPV($G$6,D107:D115,D116+D117)</f>
        <v>322.57126057644172</v>
      </c>
      <c r="E118" s="357" t="s">
        <v>23</v>
      </c>
    </row>
    <row r="119" spans="1:5" ht="15" thickTop="1" x14ac:dyDescent="0.3"/>
  </sheetData>
  <mergeCells count="12">
    <mergeCell ref="A105:A106"/>
    <mergeCell ref="A15:I15"/>
    <mergeCell ref="A34:F34"/>
    <mergeCell ref="H34:L34"/>
    <mergeCell ref="A48:F48"/>
    <mergeCell ref="H48:L48"/>
    <mergeCell ref="A62:F62"/>
    <mergeCell ref="H62:L62"/>
    <mergeCell ref="A76:F76"/>
    <mergeCell ref="H76:L76"/>
    <mergeCell ref="A90:F90"/>
    <mergeCell ref="H90:L90"/>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zoomScale="55" zoomScaleNormal="55" workbookViewId="0">
      <selection activeCell="D13" sqref="D13"/>
    </sheetView>
  </sheetViews>
  <sheetFormatPr defaultRowHeight="14.4" x14ac:dyDescent="0.3"/>
  <cols>
    <col min="1" max="1" width="38.77734375" style="198" customWidth="1"/>
    <col min="2" max="12" width="15.77734375" style="198" customWidth="1"/>
    <col min="13" max="17" width="10.77734375" style="198" customWidth="1"/>
    <col min="18" max="16384" width="8.88671875" style="198"/>
  </cols>
  <sheetData>
    <row r="1" spans="1:18" x14ac:dyDescent="0.3">
      <c r="A1" s="204" t="s">
        <v>82</v>
      </c>
    </row>
    <row r="2" spans="1:18" x14ac:dyDescent="0.3">
      <c r="A2" s="204" t="s">
        <v>90</v>
      </c>
    </row>
    <row r="3" spans="1:18" x14ac:dyDescent="0.3">
      <c r="A3" s="204" t="s">
        <v>87</v>
      </c>
    </row>
    <row r="5" spans="1:18" x14ac:dyDescent="0.3">
      <c r="A5" s="68" t="s">
        <v>31</v>
      </c>
      <c r="B5" s="69" t="s">
        <v>33</v>
      </c>
      <c r="C5" s="69" t="s">
        <v>34</v>
      </c>
      <c r="D5" s="69" t="s">
        <v>35</v>
      </c>
      <c r="F5" s="65" t="s">
        <v>3</v>
      </c>
      <c r="G5" s="205">
        <v>61.95</v>
      </c>
    </row>
    <row r="6" spans="1:18" x14ac:dyDescent="0.3">
      <c r="A6" s="210" t="s">
        <v>4</v>
      </c>
      <c r="B6" s="211">
        <v>27.8</v>
      </c>
      <c r="C6" s="211">
        <v>77.2</v>
      </c>
      <c r="D6" s="216"/>
      <c r="F6" s="66" t="s">
        <v>2</v>
      </c>
      <c r="G6" s="206">
        <v>0.1</v>
      </c>
    </row>
    <row r="7" spans="1:18" x14ac:dyDescent="0.3">
      <c r="A7" s="210" t="s">
        <v>36</v>
      </c>
      <c r="B7" s="212">
        <v>0.02</v>
      </c>
      <c r="C7" s="212">
        <v>0.02</v>
      </c>
      <c r="D7" s="31"/>
      <c r="F7" s="66" t="s">
        <v>1</v>
      </c>
      <c r="G7" s="207">
        <v>40</v>
      </c>
    </row>
    <row r="8" spans="1:18" x14ac:dyDescent="0.3">
      <c r="A8" s="210" t="s">
        <v>30</v>
      </c>
      <c r="B8" s="213">
        <f>-PV($G$6,$G$7,B6*B7)</f>
        <v>5.4371521994738794</v>
      </c>
      <c r="C8" s="32">
        <f>-PV($G$6,$G$7,C6*C7)</f>
        <v>15.09885430933034</v>
      </c>
      <c r="D8" s="32">
        <f>-PV($G$6,$G$7,D6*D7)</f>
        <v>0</v>
      </c>
      <c r="F8" s="66" t="s">
        <v>6</v>
      </c>
      <c r="G8" s="206">
        <v>0.2</v>
      </c>
    </row>
    <row r="9" spans="1:18" x14ac:dyDescent="0.3">
      <c r="A9" s="210" t="s">
        <v>32</v>
      </c>
      <c r="B9" s="213">
        <f>B6+B8</f>
        <v>33.237152199473883</v>
      </c>
      <c r="C9" s="32">
        <f>C6+C8</f>
        <v>92.298854309330338</v>
      </c>
      <c r="D9" s="32">
        <f>D6+D8</f>
        <v>0</v>
      </c>
      <c r="F9" s="66" t="s">
        <v>7</v>
      </c>
      <c r="G9" s="206">
        <v>0.2</v>
      </c>
    </row>
    <row r="10" spans="1:18" x14ac:dyDescent="0.3">
      <c r="A10" s="210" t="s">
        <v>15</v>
      </c>
      <c r="B10" s="213">
        <f>-PMT($G$6,$G$7,B9)</f>
        <v>3.3988117207194719</v>
      </c>
      <c r="C10" s="32">
        <f>-PMT($G$6,$G$7,C9)</f>
        <v>9.4384267927893255</v>
      </c>
      <c r="D10" s="32">
        <f>-PMT($G$6,$G$7,D9)</f>
        <v>0</v>
      </c>
      <c r="F10" s="66" t="s">
        <v>8</v>
      </c>
      <c r="G10" s="206">
        <v>0.2</v>
      </c>
    </row>
    <row r="11" spans="1:18" x14ac:dyDescent="0.3">
      <c r="B11" s="209"/>
      <c r="C11" s="209"/>
      <c r="D11" s="209"/>
      <c r="F11" s="66" t="s">
        <v>9</v>
      </c>
      <c r="G11" s="206">
        <v>0.2</v>
      </c>
    </row>
    <row r="12" spans="1:18" x14ac:dyDescent="0.3">
      <c r="A12" s="202" t="s">
        <v>28</v>
      </c>
      <c r="B12" s="214">
        <f>SUM(B9:D9)</f>
        <v>125.53600650880422</v>
      </c>
      <c r="C12" s="209"/>
      <c r="D12" s="209"/>
      <c r="F12" s="67" t="s">
        <v>10</v>
      </c>
      <c r="G12" s="208">
        <v>0.2</v>
      </c>
    </row>
    <row r="13" spans="1:18" x14ac:dyDescent="0.3">
      <c r="A13" s="203" t="s">
        <v>29</v>
      </c>
      <c r="B13" s="215">
        <f>-PMT($G$6,$G$7,B12)</f>
        <v>12.837238513508797</v>
      </c>
      <c r="C13" s="209"/>
      <c r="D13" s="209"/>
    </row>
    <row r="15" spans="1:18" ht="15.6" x14ac:dyDescent="0.3">
      <c r="A15" s="397" t="s">
        <v>57</v>
      </c>
      <c r="B15" s="397"/>
      <c r="C15" s="397"/>
      <c r="D15" s="397"/>
      <c r="E15" s="397"/>
      <c r="F15" s="397"/>
      <c r="G15" s="397"/>
      <c r="H15" s="397"/>
      <c r="I15" s="397"/>
      <c r="M15" s="380"/>
      <c r="N15" s="380"/>
      <c r="O15" s="380"/>
      <c r="P15" s="380"/>
      <c r="Q15" s="380"/>
      <c r="R15" s="217"/>
    </row>
    <row r="16" spans="1:18" s="209" customFormat="1" ht="68.400000000000006" customHeight="1" x14ac:dyDescent="0.3">
      <c r="A16" s="40" t="s">
        <v>5</v>
      </c>
      <c r="B16" s="51" t="s">
        <v>151</v>
      </c>
      <c r="C16" s="51" t="s">
        <v>152</v>
      </c>
      <c r="D16" s="51" t="s">
        <v>153</v>
      </c>
      <c r="E16" s="50" t="s">
        <v>25</v>
      </c>
      <c r="F16" s="50" t="s">
        <v>15</v>
      </c>
      <c r="G16" s="51" t="s">
        <v>155</v>
      </c>
      <c r="H16" s="50" t="s">
        <v>12</v>
      </c>
      <c r="I16" s="50" t="s">
        <v>24</v>
      </c>
      <c r="J16" s="35"/>
      <c r="K16" s="35"/>
      <c r="M16" s="36"/>
      <c r="N16" s="37"/>
      <c r="O16" s="37"/>
      <c r="P16" s="37"/>
      <c r="Q16" s="38"/>
      <c r="R16" s="39"/>
    </row>
    <row r="17" spans="1:18" s="209" customFormat="1" x14ac:dyDescent="0.3">
      <c r="A17" s="72" t="s">
        <v>64</v>
      </c>
      <c r="B17" s="40">
        <f>MAX(B36,B50,B64,B78,B92)</f>
        <v>0</v>
      </c>
      <c r="C17" s="40">
        <f>MAX(C36,C50,C64,C78,C92)</f>
        <v>0</v>
      </c>
      <c r="D17" s="40">
        <f t="shared" ref="D17:D26" si="0">$G$8*D36+$G$9*D50+$G$10*D64+$G$11*D78+$G$12*D92</f>
        <v>0</v>
      </c>
      <c r="E17" s="41">
        <f t="shared" ref="E17:E26" si="1">D17*$G$5/1000</f>
        <v>0</v>
      </c>
      <c r="F17" s="41">
        <f>IF($H17="Y1",$B$10,IF($H17="Y2",$B$10+$C$10,IF($H17="Y",$B$13,IF($H17="N",0))))</f>
        <v>0</v>
      </c>
      <c r="G17" s="41">
        <f>E17-F17</f>
        <v>0</v>
      </c>
      <c r="H17" s="42" t="s">
        <v>14</v>
      </c>
      <c r="I17" s="41">
        <f>IF(OR(H17="Y",H17="Y1",H17="Y2"),E17,0)</f>
        <v>0</v>
      </c>
      <c r="J17" s="43"/>
      <c r="K17" s="43"/>
      <c r="M17" s="44"/>
      <c r="N17" s="45"/>
      <c r="O17" s="45"/>
      <c r="P17" s="45"/>
      <c r="Q17" s="33"/>
      <c r="R17" s="39"/>
    </row>
    <row r="18" spans="1:18" s="209" customFormat="1" x14ac:dyDescent="0.3">
      <c r="A18" s="72" t="s">
        <v>65</v>
      </c>
      <c r="B18" s="40">
        <f t="shared" ref="B18:C26" si="2">MAX(B37,B51,B65,B79,B93)</f>
        <v>0</v>
      </c>
      <c r="C18" s="40">
        <f t="shared" si="2"/>
        <v>0</v>
      </c>
      <c r="D18" s="40">
        <f t="shared" si="0"/>
        <v>0</v>
      </c>
      <c r="E18" s="41">
        <f t="shared" si="1"/>
        <v>0</v>
      </c>
      <c r="F18" s="41">
        <f t="shared" ref="F18:F26" si="3">IF($H18="Y1",$B$10,IF($H18="Y2",$B$10+$C$10,IF($H18="Y",$B$13,IF($H18="N",0))))</f>
        <v>0</v>
      </c>
      <c r="G18" s="41">
        <f t="shared" ref="G18:G26" si="4">E18-F18</f>
        <v>0</v>
      </c>
      <c r="H18" s="42" t="s">
        <v>14</v>
      </c>
      <c r="I18" s="41">
        <f t="shared" ref="I18:I26" si="5">IF(OR(H18="Y",H18="Y1",H18="Y2"),E18,0)</f>
        <v>0</v>
      </c>
      <c r="J18" s="43"/>
      <c r="K18" s="43"/>
      <c r="M18" s="44"/>
      <c r="N18" s="45"/>
      <c r="O18" s="45"/>
      <c r="P18" s="45"/>
      <c r="Q18" s="33"/>
      <c r="R18" s="39"/>
    </row>
    <row r="19" spans="1:18" s="209" customFormat="1" x14ac:dyDescent="0.3">
      <c r="A19" s="72" t="s">
        <v>66</v>
      </c>
      <c r="B19" s="40">
        <f t="shared" si="2"/>
        <v>0</v>
      </c>
      <c r="C19" s="40">
        <f t="shared" si="2"/>
        <v>0</v>
      </c>
      <c r="D19" s="40">
        <f t="shared" si="0"/>
        <v>0</v>
      </c>
      <c r="E19" s="41">
        <f t="shared" si="1"/>
        <v>0</v>
      </c>
      <c r="F19" s="41">
        <f t="shared" si="3"/>
        <v>0</v>
      </c>
      <c r="G19" s="41">
        <f t="shared" si="4"/>
        <v>0</v>
      </c>
      <c r="H19" s="42" t="s">
        <v>14</v>
      </c>
      <c r="I19" s="41">
        <f t="shared" si="5"/>
        <v>0</v>
      </c>
      <c r="J19" s="43"/>
      <c r="K19" s="43"/>
      <c r="M19" s="44"/>
      <c r="N19" s="45"/>
      <c r="O19" s="45"/>
      <c r="P19" s="45"/>
      <c r="Q19" s="33"/>
      <c r="R19" s="39"/>
    </row>
    <row r="20" spans="1:18" s="209" customFormat="1" x14ac:dyDescent="0.3">
      <c r="A20" s="72" t="s">
        <v>67</v>
      </c>
      <c r="B20" s="40">
        <f t="shared" si="2"/>
        <v>0</v>
      </c>
      <c r="C20" s="40">
        <f t="shared" si="2"/>
        <v>0</v>
      </c>
      <c r="D20" s="40">
        <f t="shared" si="0"/>
        <v>0</v>
      </c>
      <c r="E20" s="41">
        <f t="shared" si="1"/>
        <v>0</v>
      </c>
      <c r="F20" s="41">
        <f t="shared" si="3"/>
        <v>0</v>
      </c>
      <c r="G20" s="41">
        <f t="shared" si="4"/>
        <v>0</v>
      </c>
      <c r="H20" s="42" t="s">
        <v>14</v>
      </c>
      <c r="I20" s="41">
        <f t="shared" si="5"/>
        <v>0</v>
      </c>
      <c r="J20" s="43"/>
      <c r="K20" s="43"/>
      <c r="M20" s="44"/>
      <c r="N20" s="45"/>
      <c r="O20" s="45"/>
      <c r="P20" s="45"/>
      <c r="Q20" s="33"/>
      <c r="R20" s="39"/>
    </row>
    <row r="21" spans="1:18" s="209" customFormat="1" x14ac:dyDescent="0.3">
      <c r="A21" s="72" t="s">
        <v>68</v>
      </c>
      <c r="B21" s="40">
        <f t="shared" si="2"/>
        <v>294.98000000000025</v>
      </c>
      <c r="C21" s="40">
        <f t="shared" si="2"/>
        <v>1065.1399999999976</v>
      </c>
      <c r="D21" s="40">
        <f t="shared" si="0"/>
        <v>448.65561599999967</v>
      </c>
      <c r="E21" s="41">
        <f t="shared" si="1"/>
        <v>27.794215411199982</v>
      </c>
      <c r="F21" s="41">
        <f t="shared" si="3"/>
        <v>3.3988117207194719</v>
      </c>
      <c r="G21" s="41">
        <f t="shared" si="4"/>
        <v>24.39540369048051</v>
      </c>
      <c r="H21" s="42" t="s">
        <v>49</v>
      </c>
      <c r="I21" s="41">
        <f t="shared" si="5"/>
        <v>27.794215411199982</v>
      </c>
      <c r="J21" s="43"/>
      <c r="K21" s="43"/>
      <c r="M21" s="44"/>
      <c r="N21" s="45"/>
      <c r="O21" s="45"/>
      <c r="P21" s="45"/>
      <c r="Q21" s="33"/>
      <c r="R21" s="39"/>
    </row>
    <row r="22" spans="1:18" s="209" customFormat="1" x14ac:dyDescent="0.3">
      <c r="A22" s="72" t="s">
        <v>69</v>
      </c>
      <c r="B22" s="40">
        <f t="shared" si="2"/>
        <v>296.49999999999989</v>
      </c>
      <c r="C22" s="40">
        <f t="shared" si="2"/>
        <v>1239.25</v>
      </c>
      <c r="D22" s="40">
        <f t="shared" si="0"/>
        <v>454.6757599999994</v>
      </c>
      <c r="E22" s="41">
        <f t="shared" si="1"/>
        <v>28.167163331999962</v>
      </c>
      <c r="F22" s="41">
        <f t="shared" si="3"/>
        <v>3.3988117207194719</v>
      </c>
      <c r="G22" s="41">
        <f t="shared" si="4"/>
        <v>24.76835161128049</v>
      </c>
      <c r="H22" s="42" t="s">
        <v>49</v>
      </c>
      <c r="I22" s="41">
        <f t="shared" si="5"/>
        <v>28.167163331999962</v>
      </c>
      <c r="J22" s="43"/>
      <c r="K22" s="43"/>
      <c r="M22" s="44"/>
      <c r="N22" s="45"/>
      <c r="O22" s="45"/>
      <c r="P22" s="45"/>
      <c r="Q22" s="33"/>
      <c r="R22" s="39"/>
    </row>
    <row r="23" spans="1:18" s="209" customFormat="1" x14ac:dyDescent="0.3">
      <c r="A23" s="72" t="s">
        <v>70</v>
      </c>
      <c r="B23" s="40">
        <f t="shared" si="2"/>
        <v>302.52000000000021</v>
      </c>
      <c r="C23" s="40">
        <f t="shared" si="2"/>
        <v>2402.1299999999956</v>
      </c>
      <c r="D23" s="40">
        <f t="shared" si="0"/>
        <v>955.94559999999967</v>
      </c>
      <c r="E23" s="41">
        <f t="shared" si="1"/>
        <v>59.220829919999979</v>
      </c>
      <c r="F23" s="41">
        <f t="shared" si="3"/>
        <v>12.837238513508797</v>
      </c>
      <c r="G23" s="41">
        <f t="shared" si="4"/>
        <v>46.383591406491178</v>
      </c>
      <c r="H23" s="46" t="s">
        <v>13</v>
      </c>
      <c r="I23" s="41">
        <f t="shared" si="5"/>
        <v>59.220829919999979</v>
      </c>
      <c r="J23" s="43"/>
      <c r="K23" s="43"/>
      <c r="M23" s="44"/>
      <c r="N23" s="45"/>
      <c r="O23" s="45"/>
      <c r="P23" s="45"/>
      <c r="Q23" s="33"/>
      <c r="R23" s="39"/>
    </row>
    <row r="24" spans="1:18" s="209" customFormat="1" x14ac:dyDescent="0.3">
      <c r="A24" s="72" t="s">
        <v>71</v>
      </c>
      <c r="B24" s="40">
        <f t="shared" si="2"/>
        <v>341.36</v>
      </c>
      <c r="C24" s="40">
        <f t="shared" si="2"/>
        <v>2927.7699999999968</v>
      </c>
      <c r="D24" s="40">
        <f t="shared" si="0"/>
        <v>1061.0754080000002</v>
      </c>
      <c r="E24" s="41">
        <f t="shared" si="1"/>
        <v>65.733621525600014</v>
      </c>
      <c r="F24" s="41">
        <f t="shared" si="3"/>
        <v>12.837238513508797</v>
      </c>
      <c r="G24" s="41">
        <f t="shared" si="4"/>
        <v>52.896383012091221</v>
      </c>
      <c r="H24" s="46" t="s">
        <v>13</v>
      </c>
      <c r="I24" s="41">
        <f t="shared" si="5"/>
        <v>65.733621525600014</v>
      </c>
      <c r="J24" s="43"/>
      <c r="K24" s="43"/>
      <c r="M24" s="44"/>
      <c r="N24" s="45"/>
      <c r="O24" s="45"/>
      <c r="P24" s="45"/>
      <c r="Q24" s="33"/>
      <c r="R24" s="39"/>
    </row>
    <row r="25" spans="1:18" s="209" customFormat="1" x14ac:dyDescent="0.3">
      <c r="A25" s="72" t="s">
        <v>72</v>
      </c>
      <c r="B25" s="40">
        <f t="shared" si="2"/>
        <v>308.52999999999997</v>
      </c>
      <c r="C25" s="40">
        <f t="shared" si="2"/>
        <v>3237.1900000000023</v>
      </c>
      <c r="D25" s="40">
        <f t="shared" si="0"/>
        <v>984.92479999999887</v>
      </c>
      <c r="E25" s="41">
        <f t="shared" si="1"/>
        <v>61.016091359999933</v>
      </c>
      <c r="F25" s="41">
        <f t="shared" si="3"/>
        <v>12.837238513508797</v>
      </c>
      <c r="G25" s="41">
        <f t="shared" si="4"/>
        <v>48.178852846491139</v>
      </c>
      <c r="H25" s="46" t="s">
        <v>13</v>
      </c>
      <c r="I25" s="41">
        <f t="shared" si="5"/>
        <v>61.016091359999933</v>
      </c>
      <c r="J25" s="43"/>
      <c r="K25" s="43"/>
      <c r="M25" s="44"/>
      <c r="N25" s="45"/>
      <c r="O25" s="45"/>
      <c r="P25" s="45"/>
      <c r="Q25" s="33"/>
      <c r="R25" s="39"/>
    </row>
    <row r="26" spans="1:18" s="209" customFormat="1" x14ac:dyDescent="0.3">
      <c r="A26" s="72" t="s">
        <v>73</v>
      </c>
      <c r="B26" s="40">
        <f t="shared" si="2"/>
        <v>321.0200000000001</v>
      </c>
      <c r="C26" s="40">
        <f t="shared" si="2"/>
        <v>4414.6900000000023</v>
      </c>
      <c r="D26" s="40">
        <f t="shared" si="0"/>
        <v>1180.5491040000011</v>
      </c>
      <c r="E26" s="41">
        <f t="shared" si="1"/>
        <v>73.135016992800075</v>
      </c>
      <c r="F26" s="41">
        <f t="shared" si="3"/>
        <v>12.837238513508797</v>
      </c>
      <c r="G26" s="41">
        <f t="shared" si="4"/>
        <v>60.297778479291281</v>
      </c>
      <c r="H26" s="46" t="s">
        <v>13</v>
      </c>
      <c r="I26" s="41">
        <f t="shared" si="5"/>
        <v>73.135016992800075</v>
      </c>
      <c r="J26" s="43"/>
      <c r="K26" s="43"/>
      <c r="M26" s="44"/>
      <c r="N26" s="45"/>
      <c r="O26" s="45"/>
      <c r="P26" s="45"/>
      <c r="Q26" s="33"/>
      <c r="R26" s="39"/>
    </row>
    <row r="27" spans="1:18" s="209" customFormat="1" x14ac:dyDescent="0.3">
      <c r="G27" s="57"/>
      <c r="H27" s="39">
        <f>SUM(COUNTIF(H17:H26,{"Y","Y1","Y2"}))</f>
        <v>6</v>
      </c>
      <c r="I27" s="47">
        <f>-PV($G$6,$G$7-H27,I26)</f>
        <v>702.72328638511624</v>
      </c>
      <c r="J27" s="56" t="s">
        <v>11</v>
      </c>
      <c r="K27" s="47"/>
      <c r="L27" s="39"/>
      <c r="M27" s="39"/>
      <c r="Q27" s="45"/>
    </row>
    <row r="28" spans="1:18" s="351" customFormat="1" ht="15" thickBot="1" x14ac:dyDescent="0.35">
      <c r="G28" s="57"/>
      <c r="H28" s="39"/>
      <c r="I28" s="61">
        <f>NPV($G$6,I17:I25,I26+I27)</f>
        <v>419.21626104611886</v>
      </c>
      <c r="J28" s="56" t="s">
        <v>23</v>
      </c>
      <c r="K28" s="47"/>
      <c r="L28" s="39"/>
      <c r="M28" s="39"/>
      <c r="Q28" s="45"/>
    </row>
    <row r="29" spans="1:18" s="209" customFormat="1" ht="15" thickTop="1" x14ac:dyDescent="0.3">
      <c r="I29" s="47"/>
      <c r="J29" s="39"/>
      <c r="K29" s="47"/>
      <c r="L29" s="39"/>
      <c r="M29" s="39"/>
    </row>
    <row r="30" spans="1:18" s="209" customFormat="1" ht="43.2" x14ac:dyDescent="0.3">
      <c r="A30" s="34"/>
      <c r="B30" s="63" t="s">
        <v>16</v>
      </c>
      <c r="C30" s="63" t="s">
        <v>17</v>
      </c>
      <c r="D30" s="63" t="s">
        <v>18</v>
      </c>
      <c r="E30" s="63" t="s">
        <v>19</v>
      </c>
      <c r="F30" s="63" t="s">
        <v>20</v>
      </c>
      <c r="G30" s="63" t="s">
        <v>21</v>
      </c>
      <c r="H30" s="64" t="s">
        <v>28</v>
      </c>
      <c r="I30" s="64" t="s">
        <v>37</v>
      </c>
      <c r="K30" s="39"/>
      <c r="L30" s="39"/>
      <c r="M30" s="39"/>
    </row>
    <row r="31" spans="1:18" s="209" customFormat="1" x14ac:dyDescent="0.3">
      <c r="A31" s="201" t="s">
        <v>22</v>
      </c>
      <c r="B31" s="48">
        <f>NPV($G$6,F36:F44,F45+F46)/1000</f>
        <v>289.09612848406994</v>
      </c>
      <c r="C31" s="48">
        <f>NPV($G$6,F50:F58,F59+F60)/1000</f>
        <v>795.68094600422205</v>
      </c>
      <c r="D31" s="48">
        <f>NPV($G$6,F64:F72,F73+F74)/1000</f>
        <v>293.24952850856999</v>
      </c>
      <c r="E31" s="48">
        <f>NPV($G$6,F78:F86,F87+F88)/1000</f>
        <v>550.87485394817315</v>
      </c>
      <c r="F31" s="48">
        <f>NPV($G$6,F92:F100,F101+F102)/1000</f>
        <v>167.17984828555927</v>
      </c>
      <c r="G31" s="49">
        <f>B31*G8+C31*G9+D31*G10+E31*G11+F31*G12</f>
        <v>419.21626104611892</v>
      </c>
      <c r="H31" s="213">
        <f>B12</f>
        <v>125.53600650880422</v>
      </c>
      <c r="I31" s="48">
        <f>G31-H31</f>
        <v>293.68025453731468</v>
      </c>
    </row>
    <row r="32" spans="1:18" s="209" customFormat="1" x14ac:dyDescent="0.3">
      <c r="I32" s="218"/>
    </row>
    <row r="33" spans="1:14" s="209" customFormat="1" x14ac:dyDescent="0.3"/>
    <row r="34" spans="1:14" s="209" customFormat="1" ht="15.6" x14ac:dyDescent="0.3">
      <c r="A34" s="409" t="s">
        <v>52</v>
      </c>
      <c r="B34" s="410"/>
      <c r="C34" s="410"/>
      <c r="D34" s="410"/>
      <c r="E34" s="410"/>
      <c r="F34" s="411"/>
      <c r="H34" s="406" t="s">
        <v>59</v>
      </c>
      <c r="I34" s="406"/>
      <c r="J34" s="406"/>
      <c r="K34" s="406"/>
      <c r="L34" s="406"/>
    </row>
    <row r="35" spans="1:14" s="209" customFormat="1" ht="57.6" x14ac:dyDescent="0.3">
      <c r="A35" s="199" t="s">
        <v>5</v>
      </c>
      <c r="B35" s="51" t="s">
        <v>151</v>
      </c>
      <c r="C35" s="51" t="s">
        <v>152</v>
      </c>
      <c r="D35" s="51" t="s">
        <v>153</v>
      </c>
      <c r="E35" s="51" t="s">
        <v>12</v>
      </c>
      <c r="F35" s="51" t="s">
        <v>134</v>
      </c>
      <c r="H35" s="199" t="s">
        <v>5</v>
      </c>
      <c r="I35" s="51" t="s">
        <v>75</v>
      </c>
      <c r="J35" s="51" t="s">
        <v>51</v>
      </c>
      <c r="K35" s="50" t="s">
        <v>0</v>
      </c>
      <c r="L35" s="51" t="s">
        <v>58</v>
      </c>
    </row>
    <row r="36" spans="1:14" s="209" customFormat="1" x14ac:dyDescent="0.3">
      <c r="A36" s="72" t="s">
        <v>64</v>
      </c>
      <c r="B36" s="40">
        <f>IF($E36="Y1",'Third_Line_MLTS-BATS'!B35,IF(Option3a!$E36="Y",Base!B32-Option3a!I36,IF(Option3a!$E36="N",0)))</f>
        <v>0</v>
      </c>
      <c r="C36" s="385">
        <f>IF($E36="Y1",'Third_Line_MLTS-BATS'!C35,IF(Option3a!$E36="Y",Base!C32-Option3a!J36,IF(Option3a!$E36="N",0)))</f>
        <v>0</v>
      </c>
      <c r="D36" s="385">
        <f>IF($E36="Y1",'Third_Line_MLTS-BATS'!D35,IF(Option3a!$E36="Y",Base!D32-Option3a!K36,IF(Option3a!$E36="N",0)))</f>
        <v>0</v>
      </c>
      <c r="E36" s="200" t="str">
        <f t="shared" ref="E36:E45" si="6">H17</f>
        <v>N</v>
      </c>
      <c r="F36" s="52">
        <f>IF(OR(E36="Y",E36="Y1",E36="Y2"),D36*$G$5,0)</f>
        <v>0</v>
      </c>
      <c r="H36" s="72" t="s">
        <v>64</v>
      </c>
      <c r="I36" s="40">
        <v>553.71</v>
      </c>
      <c r="J36" s="40">
        <v>8763.6</v>
      </c>
      <c r="K36" s="40">
        <v>7320.5135999999993</v>
      </c>
      <c r="L36" s="40">
        <f t="shared" ref="L36:L45" si="7">K36*$G$5</f>
        <v>453505.81751999998</v>
      </c>
      <c r="N36" s="53"/>
    </row>
    <row r="37" spans="1:14" s="209" customFormat="1" x14ac:dyDescent="0.3">
      <c r="A37" s="72" t="s">
        <v>65</v>
      </c>
      <c r="B37" s="385">
        <f>IF($E37="Y1",'Third_Line_MLTS-BATS'!B36,IF(Option3a!$E37="Y",Base!B33-Option3a!I37,IF(Option3a!$E37="N",0)))</f>
        <v>0</v>
      </c>
      <c r="C37" s="385">
        <f>IF($E37="Y1",'Third_Line_MLTS-BATS'!C36,IF(Option3a!$E37="Y",Base!C33-Option3a!J37,IF(Option3a!$E37="N",0)))</f>
        <v>0</v>
      </c>
      <c r="D37" s="385">
        <f>IF($E37="Y1",'Third_Line_MLTS-BATS'!D36,IF(Option3a!$E37="Y",Base!D33-Option3a!K37,IF(Option3a!$E37="N",0)))</f>
        <v>0</v>
      </c>
      <c r="E37" s="200" t="str">
        <f t="shared" si="6"/>
        <v>N</v>
      </c>
      <c r="F37" s="52">
        <f t="shared" ref="F37:F45" si="8">IF(OR(E37="Y",E37="Y1",E37="Y2"),D37*$G$5,0)</f>
        <v>0</v>
      </c>
      <c r="H37" s="72" t="s">
        <v>65</v>
      </c>
      <c r="I37" s="40">
        <v>597.82000000000005</v>
      </c>
      <c r="J37" s="40">
        <v>8920.64</v>
      </c>
      <c r="K37" s="40">
        <v>7324.1899999999987</v>
      </c>
      <c r="L37" s="40">
        <f t="shared" si="7"/>
        <v>453733.57049999991</v>
      </c>
    </row>
    <row r="38" spans="1:14" s="209" customFormat="1" x14ac:dyDescent="0.3">
      <c r="A38" s="72" t="s">
        <v>66</v>
      </c>
      <c r="B38" s="385">
        <f>IF($E38="Y1",'Third_Line_MLTS-BATS'!B37,IF(Option3a!$E38="Y",Base!B34-Option3a!I38,IF(Option3a!$E38="N",0)))</f>
        <v>0</v>
      </c>
      <c r="C38" s="385">
        <f>IF($E38="Y1",'Third_Line_MLTS-BATS'!C37,IF(Option3a!$E38="Y",Base!C34-Option3a!J38,IF(Option3a!$E38="N",0)))</f>
        <v>0</v>
      </c>
      <c r="D38" s="385">
        <f>IF($E38="Y1",'Third_Line_MLTS-BATS'!D37,IF(Option3a!$E38="Y",Base!D34-Option3a!K38,IF(Option3a!$E38="N",0)))</f>
        <v>0</v>
      </c>
      <c r="E38" s="200" t="str">
        <f t="shared" si="6"/>
        <v>N</v>
      </c>
      <c r="F38" s="52">
        <f t="shared" si="8"/>
        <v>0</v>
      </c>
      <c r="H38" s="72" t="s">
        <v>66</v>
      </c>
      <c r="I38" s="40">
        <v>664.38</v>
      </c>
      <c r="J38" s="40">
        <v>9325.0300000000007</v>
      </c>
      <c r="K38" s="40">
        <v>7568.1867999999995</v>
      </c>
      <c r="L38" s="40">
        <f t="shared" si="7"/>
        <v>468849.17225999996</v>
      </c>
    </row>
    <row r="39" spans="1:14" s="209" customFormat="1" x14ac:dyDescent="0.3">
      <c r="A39" s="72" t="s">
        <v>67</v>
      </c>
      <c r="B39" s="385">
        <f>IF($E39="Y1",'Third_Line_MLTS-BATS'!B38,IF(Option3a!$E39="Y",Base!B35-Option3a!I39,IF(Option3a!$E39="N",0)))</f>
        <v>0</v>
      </c>
      <c r="C39" s="385">
        <f>IF($E39="Y1",'Third_Line_MLTS-BATS'!C38,IF(Option3a!$E39="Y",Base!C35-Option3a!J39,IF(Option3a!$E39="N",0)))</f>
        <v>0</v>
      </c>
      <c r="D39" s="385">
        <f>IF($E39="Y1",'Third_Line_MLTS-BATS'!D38,IF(Option3a!$E39="Y",Base!D35-Option3a!K39,IF(Option3a!$E39="N",0)))</f>
        <v>0</v>
      </c>
      <c r="E39" s="200" t="str">
        <f t="shared" si="6"/>
        <v>N</v>
      </c>
      <c r="F39" s="52">
        <f t="shared" si="8"/>
        <v>0</v>
      </c>
      <c r="H39" s="72" t="s">
        <v>67</v>
      </c>
      <c r="I39" s="40">
        <v>700.25</v>
      </c>
      <c r="J39" s="40">
        <v>9467.1</v>
      </c>
      <c r="K39" s="40">
        <v>7595.9457600000005</v>
      </c>
      <c r="L39" s="40">
        <f t="shared" si="7"/>
        <v>470568.83983200003</v>
      </c>
    </row>
    <row r="40" spans="1:14" s="209" customFormat="1" x14ac:dyDescent="0.3">
      <c r="A40" s="72" t="s">
        <v>68</v>
      </c>
      <c r="B40" s="385">
        <f>IF($E40="Y1",'Third_Line_MLTS-BATS'!B39,IF(Option3a!$E40="Y",Base!B36-Option3a!I40,IF(Option3a!$E40="N",0)))</f>
        <v>232.94000000000005</v>
      </c>
      <c r="C40" s="385">
        <f>IF($E40="Y1",'Third_Line_MLTS-BATS'!C39,IF(Option3a!$E40="Y",Base!C36-Option3a!J40,IF(Option3a!$E40="N",0)))</f>
        <v>457.28999999999905</v>
      </c>
      <c r="D40" s="385">
        <f>IF($E40="Y1",'Third_Line_MLTS-BATS'!D39,IF(Option3a!$E40="Y",Base!D36-Option3a!K40,IF(Option3a!$E40="N",0)))</f>
        <v>210.630079999999</v>
      </c>
      <c r="E40" s="200" t="str">
        <f t="shared" si="6"/>
        <v>Y1</v>
      </c>
      <c r="F40" s="52">
        <f t="shared" si="8"/>
        <v>13048.533455999939</v>
      </c>
      <c r="H40" s="72" t="s">
        <v>68</v>
      </c>
      <c r="I40" s="40">
        <v>800.55000000000007</v>
      </c>
      <c r="J40" s="40">
        <v>9808.02</v>
      </c>
      <c r="K40" s="40">
        <v>7708.8979200000012</v>
      </c>
      <c r="L40" s="40">
        <f t="shared" si="7"/>
        <v>477566.22614400007</v>
      </c>
    </row>
    <row r="41" spans="1:14" s="209" customFormat="1" x14ac:dyDescent="0.3">
      <c r="A41" s="72" t="s">
        <v>69</v>
      </c>
      <c r="B41" s="385">
        <f>IF($E41="Y1",'Third_Line_MLTS-BATS'!B40,IF(Option3a!$E41="Y",Base!B37-Option3a!I41,IF(Option3a!$E41="N",0)))</f>
        <v>193.81000000000017</v>
      </c>
      <c r="C41" s="385">
        <f>IF($E41="Y1",'Third_Line_MLTS-BATS'!C40,IF(Option3a!$E41="Y",Base!C37-Option3a!J41,IF(Option3a!$E41="N",0)))</f>
        <v>212.31999999999789</v>
      </c>
      <c r="D41" s="385">
        <f>IF($E41="Y1",'Third_Line_MLTS-BATS'!D40,IF(Option3a!$E41="Y",Base!D37-Option3a!K41,IF(Option3a!$E41="N",0)))</f>
        <v>121.93207999999868</v>
      </c>
      <c r="E41" s="200" t="str">
        <f t="shared" si="6"/>
        <v>Y1</v>
      </c>
      <c r="F41" s="52">
        <f t="shared" si="8"/>
        <v>7553.6923559999186</v>
      </c>
      <c r="H41" s="72" t="s">
        <v>69</v>
      </c>
      <c r="I41" s="40">
        <v>919.63</v>
      </c>
      <c r="J41" s="40">
        <v>10611.719999999998</v>
      </c>
      <c r="K41" s="40">
        <v>8133.9112799999984</v>
      </c>
      <c r="L41" s="40">
        <f t="shared" si="7"/>
        <v>503895.80379599991</v>
      </c>
    </row>
    <row r="42" spans="1:14" s="209" customFormat="1" x14ac:dyDescent="0.3">
      <c r="A42" s="72" t="s">
        <v>70</v>
      </c>
      <c r="B42" s="385">
        <f>IF($E42="Y1",'Third_Line_MLTS-BATS'!B41,IF(Option3a!$E42="Y",Base!B38-Option3a!I42,IF(Option3a!$E42="N",0)))</f>
        <v>205.01999999999998</v>
      </c>
      <c r="C42" s="385">
        <f>IF($E42="Y1",'Third_Line_MLTS-BATS'!C41,IF(Option3a!$E42="Y",Base!C38-Option3a!J42,IF(Option3a!$E42="N",0)))</f>
        <v>1310.4699999999993</v>
      </c>
      <c r="D42" s="385">
        <f>IF($E42="Y1",'Third_Line_MLTS-BATS'!D41,IF(Option3a!$E42="Y",Base!D38-Option3a!K42,IF(Option3a!$E42="N",0)))</f>
        <v>868.10632000000078</v>
      </c>
      <c r="E42" s="200" t="str">
        <f t="shared" si="6"/>
        <v>Y</v>
      </c>
      <c r="F42" s="52">
        <f t="shared" si="8"/>
        <v>53779.186524000048</v>
      </c>
      <c r="H42" s="72" t="s">
        <v>70</v>
      </c>
      <c r="I42" s="40">
        <v>1011.3299999999999</v>
      </c>
      <c r="J42" s="40">
        <v>11798.76</v>
      </c>
      <c r="K42" s="40">
        <v>8602.3451999999997</v>
      </c>
      <c r="L42" s="40">
        <f t="shared" si="7"/>
        <v>532915.28514000005</v>
      </c>
    </row>
    <row r="43" spans="1:14" s="209" customFormat="1" x14ac:dyDescent="0.3">
      <c r="A43" s="72" t="s">
        <v>71</v>
      </c>
      <c r="B43" s="385">
        <f>IF($E43="Y1",'Third_Line_MLTS-BATS'!B42,IF(Option3a!$E43="Y",Base!B39-Option3a!I43,IF(Option3a!$E43="N",0)))</f>
        <v>-33.569999999999936</v>
      </c>
      <c r="C43" s="385">
        <f>IF($E43="Y1",'Third_Line_MLTS-BATS'!C42,IF(Option3a!$E43="Y",Base!C39-Option3a!J43,IF(Option3a!$E43="N",0)))</f>
        <v>1446.8899999999994</v>
      </c>
      <c r="D43" s="385">
        <f>IF($E43="Y1",'Third_Line_MLTS-BATS'!D42,IF(Option3a!$E43="Y",Base!D39-Option3a!K43,IF(Option3a!$E43="N",0)))</f>
        <v>967.79839999999967</v>
      </c>
      <c r="E43" s="200" t="str">
        <f t="shared" si="6"/>
        <v>Y</v>
      </c>
      <c r="F43" s="52">
        <f t="shared" si="8"/>
        <v>59955.110879999986</v>
      </c>
      <c r="H43" s="72" t="s">
        <v>71</v>
      </c>
      <c r="I43" s="40">
        <v>1305.78</v>
      </c>
      <c r="J43" s="40">
        <v>13025.519999999999</v>
      </c>
      <c r="K43" s="40">
        <v>9037.022399999998</v>
      </c>
      <c r="L43" s="40">
        <f t="shared" si="7"/>
        <v>559843.53767999995</v>
      </c>
    </row>
    <row r="44" spans="1:14" s="209" customFormat="1" x14ac:dyDescent="0.3">
      <c r="A44" s="72" t="s">
        <v>72</v>
      </c>
      <c r="B44" s="385">
        <f>IF($E44="Y1",'Third_Line_MLTS-BATS'!B43,IF(Option3a!$E44="Y",Base!B40-Option3a!I44,IF(Option3a!$E44="N",0)))</f>
        <v>308.52999999999997</v>
      </c>
      <c r="C44" s="385">
        <f>IF($E44="Y1",'Third_Line_MLTS-BATS'!C43,IF(Option3a!$E44="Y",Base!C40-Option3a!J44,IF(Option3a!$E44="N",0)))</f>
        <v>1274.0199999999986</v>
      </c>
      <c r="D44" s="385">
        <f>IF($E44="Y1",'Third_Line_MLTS-BATS'!D43,IF(Option3a!$E44="Y",Base!D40-Option3a!K44,IF(Option3a!$E44="N",0)))</f>
        <v>788.39991999999984</v>
      </c>
      <c r="E44" s="200" t="str">
        <f t="shared" si="6"/>
        <v>Y</v>
      </c>
      <c r="F44" s="52">
        <f t="shared" si="8"/>
        <v>48841.375043999993</v>
      </c>
      <c r="H44" s="72" t="s">
        <v>72</v>
      </c>
      <c r="I44" s="40">
        <v>1000.4000000000001</v>
      </c>
      <c r="J44" s="40">
        <v>14327.25</v>
      </c>
      <c r="K44" s="40">
        <v>9476.97912</v>
      </c>
      <c r="L44" s="40">
        <f t="shared" si="7"/>
        <v>587098.85648399999</v>
      </c>
    </row>
    <row r="45" spans="1:14" s="209" customFormat="1" x14ac:dyDescent="0.3">
      <c r="A45" s="72" t="s">
        <v>73</v>
      </c>
      <c r="B45" s="385">
        <f>IF($E45="Y1",'Third_Line_MLTS-BATS'!B44,IF(Option3a!$E45="Y",Base!B41-Option3a!I45,IF(Option3a!$E45="N",0)))</f>
        <v>143.89999999999986</v>
      </c>
      <c r="C45" s="385">
        <f>IF($E45="Y1",'Third_Line_MLTS-BATS'!C44,IF(Option3a!$E45="Y",Base!C41-Option3a!J45,IF(Option3a!$E45="N",0)))</f>
        <v>1126.4800000000032</v>
      </c>
      <c r="D45" s="385">
        <f>IF($E45="Y1",'Third_Line_MLTS-BATS'!D44,IF(Option3a!$E45="Y",Base!D41-Option3a!K45,IF(Option3a!$E45="N",0)))</f>
        <v>791.105440000003</v>
      </c>
      <c r="E45" s="200" t="str">
        <f t="shared" si="6"/>
        <v>Y</v>
      </c>
      <c r="F45" s="52">
        <f t="shared" si="8"/>
        <v>49008.982008000188</v>
      </c>
      <c r="H45" s="72" t="s">
        <v>73</v>
      </c>
      <c r="I45" s="40">
        <v>1289.3799999999999</v>
      </c>
      <c r="J45" s="40">
        <v>16937.039999999997</v>
      </c>
      <c r="K45" s="40">
        <v>10505.805119999997</v>
      </c>
      <c r="L45" s="40">
        <f t="shared" si="7"/>
        <v>650834.62718399987</v>
      </c>
    </row>
    <row r="46" spans="1:14" s="209" customFormat="1" ht="15" thickBot="1" x14ac:dyDescent="0.35">
      <c r="E46" s="60">
        <f>SUM(COUNTIF(E36:E45,{"Y","Y1","Y2"}))</f>
        <v>6</v>
      </c>
      <c r="F46" s="62">
        <f>-PV($G$6,$G$7-E46,F45)</f>
        <v>470906.47292037169</v>
      </c>
      <c r="G46" s="55" t="s">
        <v>11</v>
      </c>
    </row>
    <row r="47" spans="1:14" s="209" customFormat="1" ht="15" thickTop="1" x14ac:dyDescent="0.3"/>
    <row r="48" spans="1:14" s="209" customFormat="1" ht="15.6" x14ac:dyDescent="0.3">
      <c r="A48" s="409" t="s">
        <v>56</v>
      </c>
      <c r="B48" s="410"/>
      <c r="C48" s="410"/>
      <c r="D48" s="410"/>
      <c r="E48" s="410"/>
      <c r="F48" s="411"/>
      <c r="H48" s="406" t="s">
        <v>60</v>
      </c>
      <c r="I48" s="406"/>
      <c r="J48" s="406"/>
      <c r="K48" s="406"/>
      <c r="L48" s="406"/>
    </row>
    <row r="49" spans="1:12" s="209" customFormat="1" ht="57.6" x14ac:dyDescent="0.3">
      <c r="A49" s="199" t="s">
        <v>5</v>
      </c>
      <c r="B49" s="51" t="s">
        <v>151</v>
      </c>
      <c r="C49" s="51" t="s">
        <v>152</v>
      </c>
      <c r="D49" s="51" t="s">
        <v>153</v>
      </c>
      <c r="E49" s="51" t="s">
        <v>12</v>
      </c>
      <c r="F49" s="51" t="s">
        <v>134</v>
      </c>
      <c r="H49" s="199" t="s">
        <v>5</v>
      </c>
      <c r="I49" s="51" t="s">
        <v>75</v>
      </c>
      <c r="J49" s="51" t="s">
        <v>51</v>
      </c>
      <c r="K49" s="50" t="s">
        <v>0</v>
      </c>
      <c r="L49" s="51" t="s">
        <v>58</v>
      </c>
    </row>
    <row r="50" spans="1:12" s="209" customFormat="1" x14ac:dyDescent="0.3">
      <c r="A50" s="72" t="s">
        <v>64</v>
      </c>
      <c r="B50" s="385">
        <f>IF($E50="Y1",'Third_Line_MLTS-BATS'!B49,IF(Option3a!$E50="Y",Base!B46-Option3a!I50,IF(Option3a!$E50="N",0)))</f>
        <v>0</v>
      </c>
      <c r="C50" s="385">
        <f>IF($E50="Y1",'Third_Line_MLTS-BATS'!C49,IF(Option3a!$E50="Y",Base!C46-Option3a!J50,IF(Option3a!$E50="N",0)))</f>
        <v>0</v>
      </c>
      <c r="D50" s="385">
        <f>IF($E50="Y1",'Third_Line_MLTS-BATS'!D49,IF(Option3a!$E50="Y",Base!D46-Option3a!K50,IF(Option3a!$E50="N",0)))</f>
        <v>0</v>
      </c>
      <c r="E50" s="200" t="str">
        <f>E36</f>
        <v>N</v>
      </c>
      <c r="F50" s="52">
        <f>IF(OR(E50="Y",E50="Y1",E50="Y2"),D50*$G$5,0)</f>
        <v>0</v>
      </c>
      <c r="H50" s="72" t="s">
        <v>64</v>
      </c>
      <c r="I50" s="40">
        <v>553.71</v>
      </c>
      <c r="J50" s="40">
        <v>8763.6</v>
      </c>
      <c r="K50" s="40">
        <v>7320.5135999999993</v>
      </c>
      <c r="L50" s="40">
        <f t="shared" ref="L50:L59" si="9">K50*$G$5</f>
        <v>453505.81751999998</v>
      </c>
    </row>
    <row r="51" spans="1:12" s="209" customFormat="1" x14ac:dyDescent="0.3">
      <c r="A51" s="72" t="s">
        <v>65</v>
      </c>
      <c r="B51" s="385">
        <f>IF($E51="Y1",'Third_Line_MLTS-BATS'!B50,IF(Option3a!$E51="Y",Base!B47-Option3a!I51,IF(Option3a!$E51="N",0)))</f>
        <v>0</v>
      </c>
      <c r="C51" s="385">
        <f>IF($E51="Y1",'Third_Line_MLTS-BATS'!C50,IF(Option3a!$E51="Y",Base!C47-Option3a!J51,IF(Option3a!$E51="N",0)))</f>
        <v>0</v>
      </c>
      <c r="D51" s="385">
        <f>IF($E51="Y1",'Third_Line_MLTS-BATS'!D50,IF(Option3a!$E51="Y",Base!D47-Option3a!K51,IF(Option3a!$E51="N",0)))</f>
        <v>0</v>
      </c>
      <c r="E51" s="200" t="str">
        <f t="shared" ref="E51:E59" si="10">E37</f>
        <v>N</v>
      </c>
      <c r="F51" s="52">
        <f t="shared" ref="F51:F59" si="11">IF(OR(E51="Y",E51="Y1",E51="Y2"),D51*$G$5,0)</f>
        <v>0</v>
      </c>
      <c r="H51" s="72" t="s">
        <v>65</v>
      </c>
      <c r="I51" s="40">
        <v>599.04999999999995</v>
      </c>
      <c r="J51" s="40">
        <v>8923.51</v>
      </c>
      <c r="K51" s="40">
        <v>7325.0624799999996</v>
      </c>
      <c r="L51" s="40">
        <f t="shared" si="9"/>
        <v>453787.62063600001</v>
      </c>
    </row>
    <row r="52" spans="1:12" s="209" customFormat="1" x14ac:dyDescent="0.3">
      <c r="A52" s="72" t="s">
        <v>66</v>
      </c>
      <c r="B52" s="385">
        <f>IF($E52="Y1",'Third_Line_MLTS-BATS'!B51,IF(Option3a!$E52="Y",Base!B48-Option3a!I52,IF(Option3a!$E52="N",0)))</f>
        <v>0</v>
      </c>
      <c r="C52" s="385">
        <f>IF($E52="Y1",'Third_Line_MLTS-BATS'!C51,IF(Option3a!$E52="Y",Base!C48-Option3a!J52,IF(Option3a!$E52="N",0)))</f>
        <v>0</v>
      </c>
      <c r="D52" s="385">
        <f>IF($E52="Y1",'Third_Line_MLTS-BATS'!D51,IF(Option3a!$E52="Y",Base!D48-Option3a!K52,IF(Option3a!$E52="N",0)))</f>
        <v>0</v>
      </c>
      <c r="E52" s="200" t="str">
        <f t="shared" si="10"/>
        <v>N</v>
      </c>
      <c r="F52" s="52">
        <f t="shared" si="11"/>
        <v>0</v>
      </c>
      <c r="H52" s="72" t="s">
        <v>66</v>
      </c>
      <c r="I52" s="40">
        <v>667.14</v>
      </c>
      <c r="J52" s="40">
        <v>9327.7900000000009</v>
      </c>
      <c r="K52" s="40">
        <v>7564.4391999999989</v>
      </c>
      <c r="L52" s="40">
        <f t="shared" si="9"/>
        <v>468617.00843999995</v>
      </c>
    </row>
    <row r="53" spans="1:12" s="209" customFormat="1" x14ac:dyDescent="0.3">
      <c r="A53" s="72" t="s">
        <v>67</v>
      </c>
      <c r="B53" s="385">
        <f>IF($E53="Y1",'Third_Line_MLTS-BATS'!B52,IF(Option3a!$E53="Y",Base!B49-Option3a!I53,IF(Option3a!$E53="N",0)))</f>
        <v>0</v>
      </c>
      <c r="C53" s="385">
        <f>IF($E53="Y1",'Third_Line_MLTS-BATS'!C52,IF(Option3a!$E53="Y",Base!C49-Option3a!J53,IF(Option3a!$E53="N",0)))</f>
        <v>0</v>
      </c>
      <c r="D53" s="385">
        <f>IF($E53="Y1",'Third_Line_MLTS-BATS'!D52,IF(Option3a!$E53="Y",Base!D49-Option3a!K53,IF(Option3a!$E53="N",0)))</f>
        <v>0</v>
      </c>
      <c r="E53" s="200" t="str">
        <f t="shared" si="10"/>
        <v>N</v>
      </c>
      <c r="F53" s="52">
        <f t="shared" si="11"/>
        <v>0</v>
      </c>
      <c r="H53" s="72" t="s">
        <v>67</v>
      </c>
      <c r="I53" s="40">
        <v>742.38</v>
      </c>
      <c r="J53" s="40">
        <v>9645.24</v>
      </c>
      <c r="K53" s="40">
        <v>7762.5252</v>
      </c>
      <c r="L53" s="40">
        <f t="shared" si="9"/>
        <v>480888.43614000001</v>
      </c>
    </row>
    <row r="54" spans="1:12" s="209" customFormat="1" x14ac:dyDescent="0.3">
      <c r="A54" s="72" t="s">
        <v>68</v>
      </c>
      <c r="B54" s="385">
        <f>IF($E54="Y1",'Third_Line_MLTS-BATS'!B53,IF(Option3a!$E54="Y",Base!B50-Option3a!I54,IF(Option3a!$E54="N",0)))</f>
        <v>54.610000000000127</v>
      </c>
      <c r="C54" s="385">
        <f>IF($E54="Y1",'Third_Line_MLTS-BATS'!C53,IF(Option3a!$E54="Y",Base!C50-Option3a!J54,IF(Option3a!$E54="N",0)))</f>
        <v>1065.1399999999976</v>
      </c>
      <c r="D54" s="385">
        <f>IF($E54="Y1",'Third_Line_MLTS-BATS'!D53,IF(Option3a!$E54="Y",Base!D50-Option3a!K54,IF(Option3a!$E54="N",0)))</f>
        <v>522.57319999999891</v>
      </c>
      <c r="E54" s="200" t="str">
        <f t="shared" si="10"/>
        <v>Y1</v>
      </c>
      <c r="F54" s="52">
        <f t="shared" si="11"/>
        <v>32373.409739999934</v>
      </c>
      <c r="H54" s="72" t="s">
        <v>68</v>
      </c>
      <c r="I54" s="40">
        <v>1050.32</v>
      </c>
      <c r="J54" s="40">
        <v>10328.429999999997</v>
      </c>
      <c r="K54" s="40">
        <v>8078.0531999999985</v>
      </c>
      <c r="L54" s="40">
        <f t="shared" si="9"/>
        <v>500435.39573999995</v>
      </c>
    </row>
    <row r="55" spans="1:12" s="209" customFormat="1" x14ac:dyDescent="0.3">
      <c r="A55" s="72" t="s">
        <v>69</v>
      </c>
      <c r="B55" s="385">
        <f>IF($E55="Y1",'Third_Line_MLTS-BATS'!B54,IF(Option3a!$E55="Y",Base!B51-Option3a!I55,IF(Option3a!$E55="N",0)))</f>
        <v>233.08000000000015</v>
      </c>
      <c r="C55" s="385">
        <f>IF($E55="Y1",'Third_Line_MLTS-BATS'!C54,IF(Option3a!$E55="Y",Base!C51-Option3a!J55,IF(Option3a!$E55="N",0)))</f>
        <v>1239.25</v>
      </c>
      <c r="D55" s="385">
        <f>IF($E55="Y1",'Third_Line_MLTS-BATS'!D54,IF(Option3a!$E55="Y",Base!D51-Option3a!K55,IF(Option3a!$E55="N",0)))</f>
        <v>526.88703999999962</v>
      </c>
      <c r="E55" s="200" t="str">
        <f t="shared" si="10"/>
        <v>Y1</v>
      </c>
      <c r="F55" s="52">
        <f t="shared" si="11"/>
        <v>32640.652127999976</v>
      </c>
      <c r="H55" s="72" t="s">
        <v>69</v>
      </c>
      <c r="I55" s="40">
        <v>1082.5000000000002</v>
      </c>
      <c r="J55" s="40">
        <v>10863.789999999999</v>
      </c>
      <c r="K55" s="40">
        <v>8414.649519999999</v>
      </c>
      <c r="L55" s="40">
        <f t="shared" si="9"/>
        <v>521287.53776399995</v>
      </c>
    </row>
    <row r="56" spans="1:12" s="209" customFormat="1" x14ac:dyDescent="0.3">
      <c r="A56" s="72" t="s">
        <v>70</v>
      </c>
      <c r="B56" s="385">
        <f>IF($E56="Y1",'Third_Line_MLTS-BATS'!B55,IF(Option3a!$E56="Y",Base!B52-Option3a!I56,IF(Option3a!$E56="N",0)))</f>
        <v>112.01000000000022</v>
      </c>
      <c r="C56" s="385">
        <f>IF($E56="Y1",'Third_Line_MLTS-BATS'!C55,IF(Option3a!$E56="Y",Base!C52-Option3a!J56,IF(Option3a!$E56="N",0)))</f>
        <v>2402.1299999999956</v>
      </c>
      <c r="D56" s="385">
        <f>IF($E56="Y1",'Third_Line_MLTS-BATS'!D55,IF(Option3a!$E56="Y",Base!D52-Option3a!K56,IF(Option3a!$E56="N",0)))</f>
        <v>1518.3074399999987</v>
      </c>
      <c r="E56" s="200" t="str">
        <f t="shared" si="10"/>
        <v>Y</v>
      </c>
      <c r="F56" s="52">
        <f t="shared" si="11"/>
        <v>94059.145907999919</v>
      </c>
      <c r="H56" s="72" t="s">
        <v>70</v>
      </c>
      <c r="I56" s="40">
        <v>1291.7499999999998</v>
      </c>
      <c r="J56" s="40">
        <v>12275.84</v>
      </c>
      <c r="K56" s="40">
        <v>8876.2697599999992</v>
      </c>
      <c r="L56" s="40">
        <f t="shared" si="9"/>
        <v>549884.911632</v>
      </c>
    </row>
    <row r="57" spans="1:12" s="209" customFormat="1" x14ac:dyDescent="0.3">
      <c r="A57" s="72" t="s">
        <v>71</v>
      </c>
      <c r="B57" s="385">
        <f>IF($E57="Y1",'Third_Line_MLTS-BATS'!B56,IF(Option3a!$E57="Y",Base!B53-Option3a!I57,IF(Option3a!$E57="N",0)))</f>
        <v>-0.77000000000020918</v>
      </c>
      <c r="C57" s="385">
        <f>IF($E57="Y1",'Third_Line_MLTS-BATS'!C56,IF(Option3a!$E57="Y",Base!C53-Option3a!J57,IF(Option3a!$E57="N",0)))</f>
        <v>2927.7699999999968</v>
      </c>
      <c r="D57" s="385">
        <f>IF($E57="Y1",'Third_Line_MLTS-BATS'!D56,IF(Option3a!$E57="Y",Base!D53-Option3a!K57,IF(Option3a!$E57="N",0)))</f>
        <v>1750.2841599999992</v>
      </c>
      <c r="E57" s="200" t="str">
        <f t="shared" si="10"/>
        <v>Y</v>
      </c>
      <c r="F57" s="52">
        <f t="shared" si="11"/>
        <v>108430.10371199995</v>
      </c>
      <c r="H57" s="72" t="s">
        <v>71</v>
      </c>
      <c r="I57" s="40">
        <v>1442.2800000000002</v>
      </c>
      <c r="J57" s="40">
        <v>13589.61</v>
      </c>
      <c r="K57" s="40">
        <v>9365.7739199999996</v>
      </c>
      <c r="L57" s="40">
        <f t="shared" si="9"/>
        <v>580209.69434399996</v>
      </c>
    </row>
    <row r="58" spans="1:12" s="209" customFormat="1" x14ac:dyDescent="0.3">
      <c r="A58" s="72" t="s">
        <v>72</v>
      </c>
      <c r="B58" s="385">
        <f>IF($E58="Y1",'Third_Line_MLTS-BATS'!B57,IF(Option3a!$E58="Y",Base!B54-Option3a!I58,IF(Option3a!$E58="N",0)))</f>
        <v>-95.980000000000018</v>
      </c>
      <c r="C58" s="385">
        <f>IF($E58="Y1",'Third_Line_MLTS-BATS'!C57,IF(Option3a!$E58="Y",Base!C54-Option3a!J58,IF(Option3a!$E58="N",0)))</f>
        <v>3237.1900000000023</v>
      </c>
      <c r="D58" s="385">
        <f>IF($E58="Y1",'Third_Line_MLTS-BATS'!D57,IF(Option3a!$E58="Y",Base!D54-Option3a!K58,IF(Option3a!$E58="N",0)))</f>
        <v>1837.2347199999986</v>
      </c>
      <c r="E58" s="200" t="str">
        <f t="shared" si="10"/>
        <v>Y</v>
      </c>
      <c r="F58" s="52">
        <f t="shared" si="11"/>
        <v>113816.69090399992</v>
      </c>
      <c r="H58" s="72" t="s">
        <v>72</v>
      </c>
      <c r="I58" s="40">
        <v>1761.88</v>
      </c>
      <c r="J58" s="40">
        <v>15928.04</v>
      </c>
      <c r="K58" s="40">
        <v>10476.968000000001</v>
      </c>
      <c r="L58" s="40">
        <f t="shared" si="9"/>
        <v>649048.16760000004</v>
      </c>
    </row>
    <row r="59" spans="1:12" s="209" customFormat="1" x14ac:dyDescent="0.3">
      <c r="A59" s="72" t="s">
        <v>73</v>
      </c>
      <c r="B59" s="385">
        <f>IF($E59="Y1",'Third_Line_MLTS-BATS'!B58,IF(Option3a!$E59="Y",Base!B55-Option3a!I59,IF(Option3a!$E59="N",0)))</f>
        <v>52.259999999999991</v>
      </c>
      <c r="C59" s="385">
        <f>IF($E59="Y1",'Third_Line_MLTS-BATS'!C58,IF(Option3a!$E59="Y",Base!C55-Option3a!J59,IF(Option3a!$E59="N",0)))</f>
        <v>4414.6900000000023</v>
      </c>
      <c r="D59" s="385">
        <f>IF($E59="Y1",'Third_Line_MLTS-BATS'!D58,IF(Option3a!$E59="Y",Base!D55-Option3a!K59,IF(Option3a!$E59="N",0)))</f>
        <v>2407.5930400000016</v>
      </c>
      <c r="E59" s="200" t="str">
        <f t="shared" si="10"/>
        <v>Y</v>
      </c>
      <c r="F59" s="52">
        <f t="shared" si="11"/>
        <v>149150.38882800011</v>
      </c>
      <c r="H59" s="72" t="s">
        <v>73</v>
      </c>
      <c r="I59" s="40">
        <v>1897.57</v>
      </c>
      <c r="J59" s="40">
        <v>18742.349999999999</v>
      </c>
      <c r="K59" s="40">
        <v>11584.734719999999</v>
      </c>
      <c r="L59" s="40">
        <f t="shared" si="9"/>
        <v>717674.31590399996</v>
      </c>
    </row>
    <row r="60" spans="1:12" s="209" customFormat="1" ht="15" thickBot="1" x14ac:dyDescent="0.35">
      <c r="E60" s="60">
        <f>SUM(COUNTIF(E50:E59,{"Y","Y1","Y2"}))</f>
        <v>6</v>
      </c>
      <c r="F60" s="62">
        <f>-PV($G$6,$G$7-E60,F59)</f>
        <v>1433122.6779252482</v>
      </c>
      <c r="G60" s="55" t="s">
        <v>11</v>
      </c>
    </row>
    <row r="61" spans="1:12" s="209" customFormat="1" ht="15" thickTop="1" x14ac:dyDescent="0.3"/>
    <row r="62" spans="1:12" s="209" customFormat="1" ht="15.6" x14ac:dyDescent="0.3">
      <c r="A62" s="409" t="s">
        <v>55</v>
      </c>
      <c r="B62" s="410"/>
      <c r="C62" s="410"/>
      <c r="D62" s="410"/>
      <c r="E62" s="410"/>
      <c r="F62" s="411"/>
      <c r="H62" s="406" t="s">
        <v>61</v>
      </c>
      <c r="I62" s="406"/>
      <c r="J62" s="406"/>
      <c r="K62" s="406"/>
      <c r="L62" s="406"/>
    </row>
    <row r="63" spans="1:12" s="209" customFormat="1" ht="57.6" x14ac:dyDescent="0.3">
      <c r="A63" s="199" t="s">
        <v>5</v>
      </c>
      <c r="B63" s="51" t="s">
        <v>151</v>
      </c>
      <c r="C63" s="51" t="s">
        <v>152</v>
      </c>
      <c r="D63" s="51" t="s">
        <v>153</v>
      </c>
      <c r="E63" s="51" t="s">
        <v>12</v>
      </c>
      <c r="F63" s="51" t="s">
        <v>134</v>
      </c>
      <c r="H63" s="199" t="s">
        <v>5</v>
      </c>
      <c r="I63" s="51" t="s">
        <v>75</v>
      </c>
      <c r="J63" s="51" t="s">
        <v>51</v>
      </c>
      <c r="K63" s="50" t="s">
        <v>0</v>
      </c>
      <c r="L63" s="51" t="s">
        <v>58</v>
      </c>
    </row>
    <row r="64" spans="1:12" s="209" customFormat="1" x14ac:dyDescent="0.3">
      <c r="A64" s="72" t="s">
        <v>64</v>
      </c>
      <c r="B64" s="385">
        <f>IF($E64="Y1",'Third_Line_MLTS-BATS'!B63,IF(Option3a!$E64="Y",Base!B60-Option3a!I64,IF(Option3a!$E64="N",0)))</f>
        <v>0</v>
      </c>
      <c r="C64" s="385">
        <f>IF($E64="Y1",'Third_Line_MLTS-BATS'!C63,IF(Option3a!$E64="Y",Base!C60-Option3a!J64,IF(Option3a!$E64="N",0)))</f>
        <v>0</v>
      </c>
      <c r="D64" s="385">
        <f>IF($E64="Y1",'Third_Line_MLTS-BATS'!D63,IF(Option3a!$E64="Y",Base!D60-Option3a!K64,IF(Option3a!$E64="N",0)))</f>
        <v>0</v>
      </c>
      <c r="E64" s="200" t="str">
        <f>E36</f>
        <v>N</v>
      </c>
      <c r="F64" s="52">
        <f>IF(OR(E64="Y",E64="Y1",E64="Y2"),D64*$G$5,0)</f>
        <v>0</v>
      </c>
      <c r="H64" s="72" t="s">
        <v>64</v>
      </c>
      <c r="I64" s="40">
        <v>523.2299999999999</v>
      </c>
      <c r="J64" s="40">
        <v>8617.9499999999989</v>
      </c>
      <c r="K64" s="40">
        <v>7210.8119999999999</v>
      </c>
      <c r="L64" s="40">
        <f t="shared" ref="L64:L73" si="12">K64*$G$5</f>
        <v>446709.80340000003</v>
      </c>
    </row>
    <row r="65" spans="1:15" s="209" customFormat="1" x14ac:dyDescent="0.3">
      <c r="A65" s="72" t="s">
        <v>65</v>
      </c>
      <c r="B65" s="385">
        <f>IF($E65="Y1",'Third_Line_MLTS-BATS'!B64,IF(Option3a!$E65="Y",Base!B61-Option3a!I65,IF(Option3a!$E65="N",0)))</f>
        <v>0</v>
      </c>
      <c r="C65" s="385">
        <f>IF($E65="Y1",'Third_Line_MLTS-BATS'!C64,IF(Option3a!$E65="Y",Base!C61-Option3a!J65,IF(Option3a!$E65="N",0)))</f>
        <v>0</v>
      </c>
      <c r="D65" s="385">
        <f>IF($E65="Y1",'Third_Line_MLTS-BATS'!D64,IF(Option3a!$E65="Y",Base!D61-Option3a!K65,IF(Option3a!$E65="N",0)))</f>
        <v>0</v>
      </c>
      <c r="E65" s="200" t="str">
        <f t="shared" ref="E65:E73" si="13">E37</f>
        <v>N</v>
      </c>
      <c r="F65" s="52">
        <f t="shared" ref="F65:F73" si="14">IF(OR(E65="Y",E65="Y1",E65="Y2"),D65*$G$5,0)</f>
        <v>0</v>
      </c>
      <c r="H65" s="72" t="s">
        <v>65</v>
      </c>
      <c r="I65" s="40">
        <v>546.63999999999987</v>
      </c>
      <c r="J65" s="40">
        <v>8755.1299999999992</v>
      </c>
      <c r="K65" s="40">
        <v>7262.8155199999992</v>
      </c>
      <c r="L65" s="40">
        <f t="shared" si="12"/>
        <v>449931.42146399996</v>
      </c>
    </row>
    <row r="66" spans="1:15" s="209" customFormat="1" x14ac:dyDescent="0.3">
      <c r="A66" s="72" t="s">
        <v>66</v>
      </c>
      <c r="B66" s="385">
        <f>IF($E66="Y1",'Third_Line_MLTS-BATS'!B65,IF(Option3a!$E66="Y",Base!B62-Option3a!I66,IF(Option3a!$E66="N",0)))</f>
        <v>0</v>
      </c>
      <c r="C66" s="385">
        <f>IF($E66="Y1",'Third_Line_MLTS-BATS'!C65,IF(Option3a!$E66="Y",Base!C62-Option3a!J66,IF(Option3a!$E66="N",0)))</f>
        <v>0</v>
      </c>
      <c r="D66" s="385">
        <f>IF($E66="Y1",'Third_Line_MLTS-BATS'!D65,IF(Option3a!$E66="Y",Base!D62-Option3a!K66,IF(Option3a!$E66="N",0)))</f>
        <v>0</v>
      </c>
      <c r="E66" s="200" t="str">
        <f t="shared" si="13"/>
        <v>N</v>
      </c>
      <c r="F66" s="52">
        <f t="shared" si="14"/>
        <v>0</v>
      </c>
      <c r="H66" s="72" t="s">
        <v>66</v>
      </c>
      <c r="I66" s="40">
        <v>566.91</v>
      </c>
      <c r="J66" s="40">
        <v>8864.5600000000013</v>
      </c>
      <c r="K66" s="40">
        <v>7329.6572800000004</v>
      </c>
      <c r="L66" s="40">
        <f t="shared" si="12"/>
        <v>454072.26849600003</v>
      </c>
    </row>
    <row r="67" spans="1:15" s="209" customFormat="1" x14ac:dyDescent="0.3">
      <c r="A67" s="72" t="s">
        <v>67</v>
      </c>
      <c r="B67" s="385">
        <f>IF($E67="Y1",'Third_Line_MLTS-BATS'!B66,IF(Option3a!$E67="Y",Base!B63-Option3a!I67,IF(Option3a!$E67="N",0)))</f>
        <v>0</v>
      </c>
      <c r="C67" s="385">
        <f>IF($E67="Y1",'Third_Line_MLTS-BATS'!C66,IF(Option3a!$E67="Y",Base!C63-Option3a!J67,IF(Option3a!$E67="N",0)))</f>
        <v>0</v>
      </c>
      <c r="D67" s="385">
        <f>IF($E67="Y1",'Third_Line_MLTS-BATS'!D66,IF(Option3a!$E67="Y",Base!D63-Option3a!K67,IF(Option3a!$E67="N",0)))</f>
        <v>0</v>
      </c>
      <c r="E67" s="200" t="str">
        <f t="shared" si="13"/>
        <v>N</v>
      </c>
      <c r="F67" s="52">
        <f t="shared" si="14"/>
        <v>0</v>
      </c>
      <c r="H67" s="72" t="s">
        <v>67</v>
      </c>
      <c r="I67" s="40">
        <v>573.49</v>
      </c>
      <c r="J67" s="40">
        <v>8918.24</v>
      </c>
      <c r="K67" s="40">
        <v>7344.9668000000001</v>
      </c>
      <c r="L67" s="40">
        <f t="shared" si="12"/>
        <v>455020.69326000003</v>
      </c>
    </row>
    <row r="68" spans="1:15" s="209" customFormat="1" x14ac:dyDescent="0.3">
      <c r="A68" s="72" t="s">
        <v>68</v>
      </c>
      <c r="B68" s="385">
        <f>IF($E68="Y1",'Third_Line_MLTS-BATS'!B67,IF(Option3a!$E68="Y",Base!B64-Option3a!I68,IF(Option3a!$E68="N",0)))</f>
        <v>294.98000000000025</v>
      </c>
      <c r="C68" s="385">
        <f>IF($E68="Y1",'Third_Line_MLTS-BATS'!C67,IF(Option3a!$E68="Y",Base!C64-Option3a!J68,IF(Option3a!$E68="N",0)))</f>
        <v>970.65000000000146</v>
      </c>
      <c r="D68" s="385">
        <f>IF($E68="Y1",'Third_Line_MLTS-BATS'!D67,IF(Option3a!$E68="Y",Base!D64-Option3a!K68,IF(Option3a!$E68="N",0)))</f>
        <v>701.24231999999938</v>
      </c>
      <c r="E68" s="200" t="str">
        <f t="shared" si="13"/>
        <v>Y1</v>
      </c>
      <c r="F68" s="52">
        <f t="shared" si="14"/>
        <v>43441.961723999964</v>
      </c>
      <c r="H68" s="72" t="s">
        <v>68</v>
      </c>
      <c r="I68" s="40">
        <v>649.99999999999989</v>
      </c>
      <c r="J68" s="40">
        <v>9142.6799999999985</v>
      </c>
      <c r="K68" s="40">
        <v>7449.8131199999989</v>
      </c>
      <c r="L68" s="40">
        <f t="shared" si="12"/>
        <v>461515.92278399994</v>
      </c>
    </row>
    <row r="69" spans="1:15" s="209" customFormat="1" x14ac:dyDescent="0.3">
      <c r="A69" s="72" t="s">
        <v>69</v>
      </c>
      <c r="B69" s="385">
        <f>IF($E69="Y1",'Third_Line_MLTS-BATS'!B68,IF(Option3a!$E69="Y",Base!B65-Option3a!I69,IF(Option3a!$E69="N",0)))</f>
        <v>296.49999999999989</v>
      </c>
      <c r="C69" s="385">
        <f>IF($E69="Y1",'Third_Line_MLTS-BATS'!C68,IF(Option3a!$E69="Y",Base!C65-Option3a!J69,IF(Option3a!$E69="N",0)))</f>
        <v>1025.25</v>
      </c>
      <c r="D69" s="385">
        <f>IF($E69="Y1",'Third_Line_MLTS-BATS'!D68,IF(Option3a!$E69="Y",Base!D65-Option3a!K69,IF(Option3a!$E69="N",0)))</f>
        <v>782.86103999999796</v>
      </c>
      <c r="E69" s="200" t="str">
        <f t="shared" si="13"/>
        <v>Y1</v>
      </c>
      <c r="F69" s="52">
        <f t="shared" si="14"/>
        <v>48498.241427999877</v>
      </c>
      <c r="H69" s="72" t="s">
        <v>69</v>
      </c>
      <c r="I69" s="40">
        <v>728.00000000000011</v>
      </c>
      <c r="J69" s="40">
        <v>9502.66</v>
      </c>
      <c r="K69" s="40">
        <v>7665.9647199999999</v>
      </c>
      <c r="L69" s="40">
        <f t="shared" si="12"/>
        <v>474906.51440400002</v>
      </c>
    </row>
    <row r="70" spans="1:15" s="209" customFormat="1" x14ac:dyDescent="0.3">
      <c r="A70" s="72" t="s">
        <v>70</v>
      </c>
      <c r="B70" s="385">
        <f>IF($E70="Y1",'Third_Line_MLTS-BATS'!B69,IF(Option3a!$E70="Y",Base!B66-Option3a!I70,IF(Option3a!$E70="N",0)))</f>
        <v>302.52000000000021</v>
      </c>
      <c r="C70" s="385">
        <f>IF($E70="Y1",'Third_Line_MLTS-BATS'!C69,IF(Option3a!$E70="Y",Base!C66-Option3a!J70,IF(Option3a!$E70="N",0)))</f>
        <v>1165.4300000000003</v>
      </c>
      <c r="D70" s="385">
        <f>IF($E70="Y1",'Third_Line_MLTS-BATS'!D69,IF(Option3a!$E70="Y",Base!D66-Option3a!K70,IF(Option3a!$E70="N",0)))</f>
        <v>705.1930399999992</v>
      </c>
      <c r="E70" s="200" t="str">
        <f t="shared" si="13"/>
        <v>Y</v>
      </c>
      <c r="F70" s="52">
        <f t="shared" si="14"/>
        <v>43686.708827999952</v>
      </c>
      <c r="H70" s="72" t="s">
        <v>70</v>
      </c>
      <c r="I70" s="40">
        <v>765.04</v>
      </c>
      <c r="J70" s="40">
        <v>9879.31</v>
      </c>
      <c r="K70" s="40">
        <v>7825.7411199999997</v>
      </c>
      <c r="L70" s="40">
        <f t="shared" si="12"/>
        <v>484804.66238400002</v>
      </c>
    </row>
    <row r="71" spans="1:15" s="209" customFormat="1" x14ac:dyDescent="0.3">
      <c r="A71" s="72" t="s">
        <v>71</v>
      </c>
      <c r="B71" s="385">
        <f>IF($E71="Y1",'Third_Line_MLTS-BATS'!B70,IF(Option3a!$E71="Y",Base!B67-Option3a!I71,IF(Option3a!$E71="N",0)))</f>
        <v>253.81999999999994</v>
      </c>
      <c r="C71" s="385">
        <f>IF($E71="Y1",'Third_Line_MLTS-BATS'!C70,IF(Option3a!$E71="Y",Base!C67-Option3a!J71,IF(Option3a!$E71="N",0)))</f>
        <v>1175.9700000000012</v>
      </c>
      <c r="D71" s="385">
        <f>IF($E71="Y1",'Third_Line_MLTS-BATS'!D70,IF(Option3a!$E71="Y",Base!D67-Option3a!K71,IF(Option3a!$E71="N",0)))</f>
        <v>720.16655999999966</v>
      </c>
      <c r="E71" s="200" t="str">
        <f t="shared" si="13"/>
        <v>Y</v>
      </c>
      <c r="F71" s="52">
        <f t="shared" si="14"/>
        <v>44614.318391999979</v>
      </c>
      <c r="H71" s="72" t="s">
        <v>71</v>
      </c>
      <c r="I71" s="40">
        <v>845.3</v>
      </c>
      <c r="J71" s="40">
        <v>10358.64</v>
      </c>
      <c r="K71" s="40">
        <v>8043.9806399999998</v>
      </c>
      <c r="L71" s="40">
        <f t="shared" si="12"/>
        <v>498324.60064800002</v>
      </c>
    </row>
    <row r="72" spans="1:15" s="209" customFormat="1" x14ac:dyDescent="0.3">
      <c r="A72" s="72" t="s">
        <v>72</v>
      </c>
      <c r="B72" s="385">
        <f>IF($E72="Y1",'Third_Line_MLTS-BATS'!B71,IF(Option3a!$E72="Y",Base!B68-Option3a!I72,IF(Option3a!$E72="N",0)))</f>
        <v>306.15000000000009</v>
      </c>
      <c r="C72" s="385">
        <f>IF($E72="Y1",'Third_Line_MLTS-BATS'!C71,IF(Option3a!$E72="Y",Base!C68-Option3a!J72,IF(Option3a!$E72="N",0)))</f>
        <v>981.05999999999949</v>
      </c>
      <c r="D72" s="385">
        <f>IF($E72="Y1",'Third_Line_MLTS-BATS'!D71,IF(Option3a!$E72="Y",Base!D68-Option3a!K72,IF(Option3a!$E72="N",0)))</f>
        <v>600.35495999999875</v>
      </c>
      <c r="E72" s="200" t="str">
        <f t="shared" si="13"/>
        <v>Y</v>
      </c>
      <c r="F72" s="52">
        <f t="shared" si="14"/>
        <v>37191.989771999928</v>
      </c>
      <c r="H72" s="72" t="s">
        <v>72</v>
      </c>
      <c r="I72" s="40">
        <v>736.93000000000006</v>
      </c>
      <c r="J72" s="40">
        <v>10509.779999999999</v>
      </c>
      <c r="K72" s="40">
        <v>7966.5959999999995</v>
      </c>
      <c r="L72" s="40">
        <f t="shared" si="12"/>
        <v>493530.62219999998</v>
      </c>
    </row>
    <row r="73" spans="1:15" s="209" customFormat="1" x14ac:dyDescent="0.3">
      <c r="A73" s="72" t="s">
        <v>73</v>
      </c>
      <c r="B73" s="385">
        <f>IF($E73="Y1",'Third_Line_MLTS-BATS'!B72,IF(Option3a!$E73="Y",Base!B69-Option3a!I73,IF(Option3a!$E73="N",0)))</f>
        <v>321.0200000000001</v>
      </c>
      <c r="C73" s="385">
        <f>IF($E73="Y1",'Third_Line_MLTS-BATS'!C72,IF(Option3a!$E73="Y",Base!C69-Option3a!J73,IF(Option3a!$E73="N",0)))</f>
        <v>1182.5399999999991</v>
      </c>
      <c r="D73" s="385">
        <f>IF($E73="Y1",'Third_Line_MLTS-BATS'!D72,IF(Option3a!$E73="Y",Base!D69-Option3a!K73,IF(Option3a!$E73="N",0)))</f>
        <v>709.98384000000078</v>
      </c>
      <c r="E73" s="200" t="str">
        <f t="shared" si="13"/>
        <v>Y</v>
      </c>
      <c r="F73" s="52">
        <f t="shared" si="14"/>
        <v>43983.498888000053</v>
      </c>
      <c r="H73" s="72" t="s">
        <v>73</v>
      </c>
      <c r="I73" s="40">
        <v>763.1</v>
      </c>
      <c r="J73" s="40">
        <v>11319.99</v>
      </c>
      <c r="K73" s="40">
        <v>8228.2048799999993</v>
      </c>
      <c r="L73" s="40">
        <f t="shared" si="12"/>
        <v>509737.29231599998</v>
      </c>
    </row>
    <row r="74" spans="1:15" s="209" customFormat="1" ht="15" thickBot="1" x14ac:dyDescent="0.35">
      <c r="E74" s="60">
        <f>SUM(COUNTIF(E64:E73,{"Y","Y1","Y2"}))</f>
        <v>6</v>
      </c>
      <c r="F74" s="62">
        <f>-PV($G$6,$G$7-E74,F73)</f>
        <v>422618.74210454244</v>
      </c>
      <c r="G74" s="55" t="s">
        <v>11</v>
      </c>
    </row>
    <row r="75" spans="1:15" s="209" customFormat="1" ht="15" thickTop="1" x14ac:dyDescent="0.3"/>
    <row r="76" spans="1:15" s="209" customFormat="1" ht="15.6" x14ac:dyDescent="0.3">
      <c r="A76" s="409" t="s">
        <v>54</v>
      </c>
      <c r="B76" s="410"/>
      <c r="C76" s="410"/>
      <c r="D76" s="410"/>
      <c r="E76" s="410"/>
      <c r="F76" s="411"/>
      <c r="H76" s="406" t="s">
        <v>62</v>
      </c>
      <c r="I76" s="406"/>
      <c r="J76" s="406"/>
      <c r="K76" s="406"/>
      <c r="L76" s="406"/>
    </row>
    <row r="77" spans="1:15" s="209" customFormat="1" ht="57.6" x14ac:dyDescent="0.3">
      <c r="A77" s="199" t="s">
        <v>5</v>
      </c>
      <c r="B77" s="51" t="s">
        <v>151</v>
      </c>
      <c r="C77" s="51" t="s">
        <v>152</v>
      </c>
      <c r="D77" s="51" t="s">
        <v>153</v>
      </c>
      <c r="E77" s="51" t="s">
        <v>12</v>
      </c>
      <c r="F77" s="51" t="s">
        <v>134</v>
      </c>
      <c r="H77" s="199" t="s">
        <v>5</v>
      </c>
      <c r="I77" s="51" t="s">
        <v>75</v>
      </c>
      <c r="J77" s="51" t="s">
        <v>51</v>
      </c>
      <c r="K77" s="50" t="s">
        <v>0</v>
      </c>
      <c r="L77" s="51" t="s">
        <v>58</v>
      </c>
    </row>
    <row r="78" spans="1:15" s="209" customFormat="1" x14ac:dyDescent="0.3">
      <c r="A78" s="72" t="s">
        <v>64</v>
      </c>
      <c r="B78" s="385">
        <f>IF($E78="Y1",'Third_Line_MLTS-BATS'!B77,IF(Option3a!$E78="Y",Base!B74-Option3a!I78,IF(Option3a!$E78="N",0)))</f>
        <v>0</v>
      </c>
      <c r="C78" s="385">
        <f>IF($E78="Y1",'Third_Line_MLTS-BATS'!C77,IF(Option3a!$E78="Y",Base!C74-Option3a!J78,IF(Option3a!$E78="N",0)))</f>
        <v>0</v>
      </c>
      <c r="D78" s="385">
        <f>IF($E78="Y1",'Third_Line_MLTS-BATS'!D77,IF(Option3a!$E78="Y",Base!D74-Option3a!K78,IF(Option3a!$E78="N",0)))</f>
        <v>0</v>
      </c>
      <c r="E78" s="200" t="str">
        <f>E36</f>
        <v>N</v>
      </c>
      <c r="F78" s="52">
        <f>IF(OR(E78="Y",E78="Y1",E78="Y2"),D78*$G$5,0)</f>
        <v>0</v>
      </c>
      <c r="H78" s="72" t="s">
        <v>64</v>
      </c>
      <c r="I78" s="40">
        <v>523.2299999999999</v>
      </c>
      <c r="J78" s="40">
        <v>8617.9499999999989</v>
      </c>
      <c r="K78" s="40">
        <v>7210.8119999999999</v>
      </c>
      <c r="L78" s="40">
        <f t="shared" ref="L78:L87" si="15">K78*$G$5</f>
        <v>446709.80340000003</v>
      </c>
    </row>
    <row r="79" spans="1:15" s="209" customFormat="1" x14ac:dyDescent="0.3">
      <c r="A79" s="72" t="s">
        <v>65</v>
      </c>
      <c r="B79" s="385">
        <f>IF($E79="Y1",'Third_Line_MLTS-BATS'!B78,IF(Option3a!$E79="Y",Base!B75-Option3a!I79,IF(Option3a!$E79="N",0)))</f>
        <v>0</v>
      </c>
      <c r="C79" s="385">
        <f>IF($E79="Y1",'Third_Line_MLTS-BATS'!C78,IF(Option3a!$E79="Y",Base!C75-Option3a!J79,IF(Option3a!$E79="N",0)))</f>
        <v>0</v>
      </c>
      <c r="D79" s="385">
        <f>IF($E79="Y1",'Third_Line_MLTS-BATS'!D78,IF(Option3a!$E79="Y",Base!D75-Option3a!K79,IF(Option3a!$E79="N",0)))</f>
        <v>0</v>
      </c>
      <c r="E79" s="200" t="str">
        <f t="shared" ref="E79:E87" si="16">E37</f>
        <v>N</v>
      </c>
      <c r="F79" s="52">
        <f t="shared" ref="F79:F87" si="17">IF(OR(E79="Y",E79="Y1",E79="Y2"),D79*$G$5,0)</f>
        <v>0</v>
      </c>
      <c r="H79" s="72" t="s">
        <v>65</v>
      </c>
      <c r="I79" s="40">
        <v>546.63999999999987</v>
      </c>
      <c r="J79" s="40">
        <v>8754.81</v>
      </c>
      <c r="K79" s="40">
        <v>7262.3075999999992</v>
      </c>
      <c r="L79" s="40">
        <f t="shared" si="15"/>
        <v>449899.95581999997</v>
      </c>
    </row>
    <row r="80" spans="1:15" s="209" customFormat="1" x14ac:dyDescent="0.3">
      <c r="A80" s="72" t="s">
        <v>66</v>
      </c>
      <c r="B80" s="385">
        <f>IF($E80="Y1",'Third_Line_MLTS-BATS'!B79,IF(Option3a!$E80="Y",Base!B76-Option3a!I80,IF(Option3a!$E80="N",0)))</f>
        <v>0</v>
      </c>
      <c r="C80" s="385">
        <f>IF($E80="Y1",'Third_Line_MLTS-BATS'!C79,IF(Option3a!$E80="Y",Base!C76-Option3a!J80,IF(Option3a!$E80="N",0)))</f>
        <v>0</v>
      </c>
      <c r="D80" s="385">
        <f>IF($E80="Y1",'Third_Line_MLTS-BATS'!D79,IF(Option3a!$E80="Y",Base!D76-Option3a!K80,IF(Option3a!$E80="N",0)))</f>
        <v>0</v>
      </c>
      <c r="E80" s="200" t="str">
        <f t="shared" si="16"/>
        <v>N</v>
      </c>
      <c r="F80" s="52">
        <f t="shared" si="17"/>
        <v>0</v>
      </c>
      <c r="H80" s="72" t="s">
        <v>66</v>
      </c>
      <c r="I80" s="40">
        <v>566.91</v>
      </c>
      <c r="J80" s="40">
        <v>8864.08</v>
      </c>
      <c r="K80" s="40">
        <v>7329.5113600000004</v>
      </c>
      <c r="L80" s="40">
        <f t="shared" si="15"/>
        <v>454063.22875200002</v>
      </c>
      <c r="N80" s="39"/>
      <c r="O80" s="39"/>
    </row>
    <row r="81" spans="1:15" s="209" customFormat="1" x14ac:dyDescent="0.3">
      <c r="A81" s="72" t="s">
        <v>67</v>
      </c>
      <c r="B81" s="385">
        <f>IF($E81="Y1",'Third_Line_MLTS-BATS'!B80,IF(Option3a!$E81="Y",Base!B77-Option3a!I81,IF(Option3a!$E81="N",0)))</f>
        <v>0</v>
      </c>
      <c r="C81" s="385">
        <f>IF($E81="Y1",'Third_Line_MLTS-BATS'!C80,IF(Option3a!$E81="Y",Base!C77-Option3a!J81,IF(Option3a!$E81="N",0)))</f>
        <v>0</v>
      </c>
      <c r="D81" s="385">
        <f>IF($E81="Y1",'Third_Line_MLTS-BATS'!D80,IF(Option3a!$E81="Y",Base!D77-Option3a!K81,IF(Option3a!$E81="N",0)))</f>
        <v>0</v>
      </c>
      <c r="E81" s="200" t="str">
        <f t="shared" si="16"/>
        <v>N</v>
      </c>
      <c r="F81" s="52">
        <f t="shared" si="17"/>
        <v>0</v>
      </c>
      <c r="H81" s="72" t="s">
        <v>67</v>
      </c>
      <c r="I81" s="40">
        <v>609.04</v>
      </c>
      <c r="J81" s="40">
        <v>9050.4000000000015</v>
      </c>
      <c r="K81" s="40">
        <v>7473.0899999999992</v>
      </c>
      <c r="L81" s="40">
        <f t="shared" si="15"/>
        <v>462957.92549999995</v>
      </c>
      <c r="N81" s="45"/>
      <c r="O81" s="54"/>
    </row>
    <row r="82" spans="1:15" s="209" customFormat="1" x14ac:dyDescent="0.3">
      <c r="A82" s="72" t="s">
        <v>68</v>
      </c>
      <c r="B82" s="385">
        <f>IF($E82="Y1",'Third_Line_MLTS-BATS'!B81,IF(Option3a!$E82="Y",Base!B78-Option3a!I82,IF(Option3a!$E82="N",0)))</f>
        <v>52.060000000000059</v>
      </c>
      <c r="C82" s="385">
        <f>IF($E82="Y1",'Third_Line_MLTS-BATS'!C81,IF(Option3a!$E82="Y",Base!C78-Option3a!J82,IF(Option3a!$E82="N",0)))</f>
        <v>802.76000000000386</v>
      </c>
      <c r="D82" s="385">
        <f>IF($E82="Y1",'Third_Line_MLTS-BATS'!D81,IF(Option3a!$E82="Y",Base!D78-Option3a!K82,IF(Option3a!$E82="N",0)))</f>
        <v>433.51112000000103</v>
      </c>
      <c r="E82" s="200" t="str">
        <f t="shared" si="16"/>
        <v>Y1</v>
      </c>
      <c r="F82" s="52">
        <f t="shared" si="17"/>
        <v>26856.013884000065</v>
      </c>
      <c r="H82" s="72" t="s">
        <v>68</v>
      </c>
      <c r="I82" s="40">
        <v>911.06000000000006</v>
      </c>
      <c r="J82" s="40">
        <v>9576.4599999999991</v>
      </c>
      <c r="K82" s="40">
        <v>7711.5697600000003</v>
      </c>
      <c r="L82" s="40">
        <f t="shared" si="15"/>
        <v>477731.74663200002</v>
      </c>
      <c r="N82" s="45"/>
      <c r="O82" s="54"/>
    </row>
    <row r="83" spans="1:15" s="209" customFormat="1" x14ac:dyDescent="0.3">
      <c r="A83" s="72" t="s">
        <v>69</v>
      </c>
      <c r="B83" s="385">
        <f>IF($E83="Y1",'Third_Line_MLTS-BATS'!B82,IF(Option3a!$E83="Y",Base!B79-Option3a!I83,IF(Option3a!$E83="N",0)))</f>
        <v>164.80000000000007</v>
      </c>
      <c r="C83" s="385">
        <f>IF($E83="Y1",'Third_Line_MLTS-BATS'!C82,IF(Option3a!$E83="Y",Base!C79-Option3a!J83,IF(Option3a!$E83="N",0)))</f>
        <v>776.59000000000196</v>
      </c>
      <c r="D83" s="385">
        <f>IF($E83="Y1",'Third_Line_MLTS-BATS'!D82,IF(Option3a!$E83="Y",Base!D79-Option3a!K83,IF(Option3a!$E83="N",0)))</f>
        <v>361.48168000000078</v>
      </c>
      <c r="E83" s="200" t="str">
        <f t="shared" si="16"/>
        <v>Y1</v>
      </c>
      <c r="F83" s="52">
        <f t="shared" si="17"/>
        <v>22393.790076000048</v>
      </c>
      <c r="H83" s="72" t="s">
        <v>69</v>
      </c>
      <c r="I83" s="40">
        <v>995.0100000000001</v>
      </c>
      <c r="J83" s="40">
        <v>10000.049999999999</v>
      </c>
      <c r="K83" s="40">
        <v>7982.5895999999993</v>
      </c>
      <c r="L83" s="40">
        <f t="shared" si="15"/>
        <v>494521.42572</v>
      </c>
      <c r="N83" s="39"/>
      <c r="O83" s="39"/>
    </row>
    <row r="84" spans="1:15" s="209" customFormat="1" x14ac:dyDescent="0.3">
      <c r="A84" s="72" t="s">
        <v>70</v>
      </c>
      <c r="B84" s="385">
        <f>IF($E84="Y1",'Third_Line_MLTS-BATS'!B83,IF(Option3a!$E84="Y",Base!B80-Option3a!I84,IF(Option3a!$E84="N",0)))</f>
        <v>164.12</v>
      </c>
      <c r="C84" s="385">
        <f>IF($E84="Y1",'Third_Line_MLTS-BATS'!C83,IF(Option3a!$E84="Y",Base!C80-Option3a!J84,IF(Option3a!$E84="N",0)))</f>
        <v>1889.3999999999978</v>
      </c>
      <c r="D84" s="385">
        <f>IF($E84="Y1",'Third_Line_MLTS-BATS'!D83,IF(Option3a!$E84="Y",Base!D80-Option3a!K84,IF(Option3a!$E84="N",0)))</f>
        <v>1159.0523999999987</v>
      </c>
      <c r="E84" s="200" t="str">
        <f t="shared" si="16"/>
        <v>Y</v>
      </c>
      <c r="F84" s="52">
        <f t="shared" si="17"/>
        <v>71803.296179999918</v>
      </c>
      <c r="H84" s="72" t="s">
        <v>70</v>
      </c>
      <c r="I84" s="40">
        <v>960.52999999999986</v>
      </c>
      <c r="J84" s="40">
        <v>10209.14</v>
      </c>
      <c r="K84" s="40">
        <v>8061.6737599999997</v>
      </c>
      <c r="L84" s="40">
        <f t="shared" si="15"/>
        <v>499420.68943199998</v>
      </c>
      <c r="N84" s="39"/>
      <c r="O84" s="39"/>
    </row>
    <row r="85" spans="1:15" s="209" customFormat="1" x14ac:dyDescent="0.3">
      <c r="A85" s="72" t="s">
        <v>71</v>
      </c>
      <c r="B85" s="385">
        <f>IF($E85="Y1",'Third_Line_MLTS-BATS'!B84,IF(Option3a!$E85="Y",Base!B81-Option3a!I85,IF(Option3a!$E85="N",0)))</f>
        <v>341.36</v>
      </c>
      <c r="C85" s="385">
        <f>IF($E85="Y1",'Third_Line_MLTS-BATS'!C84,IF(Option3a!$E85="Y",Base!C81-Option3a!J85,IF(Option3a!$E85="N",0)))</f>
        <v>2100.3100000000049</v>
      </c>
      <c r="D85" s="385">
        <f>IF($E85="Y1",'Third_Line_MLTS-BATS'!D84,IF(Option3a!$E85="Y",Base!D81-Option3a!K85,IF(Option3a!$E85="N",0)))</f>
        <v>1263.3212800000019</v>
      </c>
      <c r="E85" s="200" t="str">
        <f t="shared" si="16"/>
        <v>Y</v>
      </c>
      <c r="F85" s="52">
        <f t="shared" si="17"/>
        <v>78262.753296000126</v>
      </c>
      <c r="H85" s="72" t="s">
        <v>71</v>
      </c>
      <c r="I85" s="40">
        <v>961.62</v>
      </c>
      <c r="J85" s="40">
        <v>10621.759999999998</v>
      </c>
      <c r="K85" s="40">
        <v>8229.0024799999992</v>
      </c>
      <c r="L85" s="40">
        <f t="shared" si="15"/>
        <v>509786.70363599999</v>
      </c>
      <c r="N85" s="39"/>
      <c r="O85" s="39"/>
    </row>
    <row r="86" spans="1:15" s="209" customFormat="1" x14ac:dyDescent="0.3">
      <c r="A86" s="72" t="s">
        <v>72</v>
      </c>
      <c r="B86" s="385">
        <f>IF($E86="Y1",'Third_Line_MLTS-BATS'!B85,IF(Option3a!$E86="Y",Base!B82-Option3a!I86,IF(Option3a!$E86="N",0)))</f>
        <v>131.94000000000028</v>
      </c>
      <c r="C86" s="385">
        <f>IF($E86="Y1",'Third_Line_MLTS-BATS'!C85,IF(Option3a!$E86="Y",Base!C82-Option3a!J86,IF(Option3a!$E86="N",0)))</f>
        <v>2103.0699999999979</v>
      </c>
      <c r="D86" s="385">
        <f>IF($E86="Y1",'Third_Line_MLTS-BATS'!D85,IF(Option3a!$E86="Y",Base!D82-Option3a!K86,IF(Option3a!$E86="N",0)))</f>
        <v>1314.1400799999992</v>
      </c>
      <c r="E86" s="200" t="str">
        <f t="shared" si="16"/>
        <v>Y</v>
      </c>
      <c r="F86" s="52">
        <f t="shared" si="17"/>
        <v>81410.977955999959</v>
      </c>
      <c r="H86" s="72" t="s">
        <v>72</v>
      </c>
      <c r="I86" s="40">
        <v>1078.53</v>
      </c>
      <c r="J86" s="40">
        <v>11214.560000000001</v>
      </c>
      <c r="K86" s="40">
        <v>8481.8343199999999</v>
      </c>
      <c r="L86" s="40">
        <f t="shared" si="15"/>
        <v>525449.63612400007</v>
      </c>
    </row>
    <row r="87" spans="1:15" s="209" customFormat="1" x14ac:dyDescent="0.3">
      <c r="A87" s="72" t="s">
        <v>73</v>
      </c>
      <c r="B87" s="385">
        <f>IF($E87="Y1",'Third_Line_MLTS-BATS'!B86,IF(Option3a!$E87="Y",Base!B83-Option3a!I87,IF(Option3a!$E87="N",0)))</f>
        <v>145.89999999999964</v>
      </c>
      <c r="C87" s="385">
        <f>IF($E87="Y1",'Third_Line_MLTS-BATS'!C86,IF(Option3a!$E87="Y",Base!C83-Option3a!J87,IF(Option3a!$E87="N",0)))</f>
        <v>2593.1899999999969</v>
      </c>
      <c r="D87" s="385">
        <f>IF($E87="Y1",'Third_Line_MLTS-BATS'!D86,IF(Option3a!$E87="Y",Base!D83-Option3a!K87,IF(Option3a!$E87="N",0)))</f>
        <v>1632.6334399999996</v>
      </c>
      <c r="E87" s="200" t="str">
        <f t="shared" si="16"/>
        <v>Y</v>
      </c>
      <c r="F87" s="52">
        <f t="shared" si="17"/>
        <v>101141.64160799998</v>
      </c>
      <c r="H87" s="72" t="s">
        <v>73</v>
      </c>
      <c r="I87" s="40">
        <v>1257.8200000000002</v>
      </c>
      <c r="J87" s="40">
        <v>12347.12</v>
      </c>
      <c r="K87" s="40">
        <v>8870.0779999999995</v>
      </c>
      <c r="L87" s="40">
        <f t="shared" si="15"/>
        <v>549501.3321</v>
      </c>
    </row>
    <row r="88" spans="1:15" s="209" customFormat="1" ht="15" thickBot="1" x14ac:dyDescent="0.35">
      <c r="E88" s="60">
        <f>SUM(COUNTIF(E78:E87,{"Y","Y1","Y2"}))</f>
        <v>6</v>
      </c>
      <c r="F88" s="62">
        <f>-PV($G$6,$G$7-E88,F87)</f>
        <v>971827.03585283144</v>
      </c>
      <c r="G88" s="55" t="s">
        <v>11</v>
      </c>
    </row>
    <row r="89" spans="1:15" s="209" customFormat="1" ht="15" thickTop="1" x14ac:dyDescent="0.3"/>
    <row r="90" spans="1:15" s="209" customFormat="1" ht="15.6" x14ac:dyDescent="0.3">
      <c r="A90" s="409" t="s">
        <v>53</v>
      </c>
      <c r="B90" s="410"/>
      <c r="C90" s="410"/>
      <c r="D90" s="410"/>
      <c r="E90" s="410"/>
      <c r="F90" s="411"/>
      <c r="H90" s="406" t="s">
        <v>63</v>
      </c>
      <c r="I90" s="406"/>
      <c r="J90" s="406"/>
      <c r="K90" s="406"/>
      <c r="L90" s="406"/>
    </row>
    <row r="91" spans="1:15" s="209" customFormat="1" ht="57.6" x14ac:dyDescent="0.3">
      <c r="A91" s="199" t="s">
        <v>5</v>
      </c>
      <c r="B91" s="51" t="s">
        <v>151</v>
      </c>
      <c r="C91" s="51" t="s">
        <v>152</v>
      </c>
      <c r="D91" s="51" t="s">
        <v>153</v>
      </c>
      <c r="E91" s="51" t="s">
        <v>12</v>
      </c>
      <c r="F91" s="51" t="s">
        <v>134</v>
      </c>
      <c r="H91" s="199" t="s">
        <v>5</v>
      </c>
      <c r="I91" s="51" t="s">
        <v>75</v>
      </c>
      <c r="J91" s="51" t="s">
        <v>51</v>
      </c>
      <c r="K91" s="50" t="s">
        <v>0</v>
      </c>
      <c r="L91" s="51" t="s">
        <v>58</v>
      </c>
    </row>
    <row r="92" spans="1:15" s="209" customFormat="1" x14ac:dyDescent="0.3">
      <c r="A92" s="72" t="s">
        <v>64</v>
      </c>
      <c r="B92" s="385">
        <f>IF($E92="Y1",'Third_Line_MLTS-BATS'!B91,IF(Option3a!$E92="Y",Base!B88-Option3a!I92,IF(Option3a!$E92="N",0)))</f>
        <v>0</v>
      </c>
      <c r="C92" s="385">
        <f>IF($E92="Y1",'Third_Line_MLTS-BATS'!C91,IF(Option3a!$E92="Y",Base!C88-Option3a!J92,IF(Option3a!$E92="N",0)))</f>
        <v>0</v>
      </c>
      <c r="D92" s="385">
        <f>IF($E92="Y1",'Third_Line_MLTS-BATS'!D91,IF(Option3a!$E92="Y",Base!D88-Option3a!K92,IF(Option3a!$E92="N",0)))</f>
        <v>0</v>
      </c>
      <c r="E92" s="200" t="str">
        <f>E36</f>
        <v>N</v>
      </c>
      <c r="F92" s="52">
        <f>IF(OR(E92="Y",E92="Y1",E92="Y2"),D92*$G$5,0)</f>
        <v>0</v>
      </c>
      <c r="H92" s="72" t="s">
        <v>64</v>
      </c>
      <c r="I92" s="40">
        <v>553.71</v>
      </c>
      <c r="J92" s="40">
        <v>8763.6</v>
      </c>
      <c r="K92" s="40">
        <v>7320.5135999999993</v>
      </c>
      <c r="L92" s="40">
        <f t="shared" ref="L92:L101" si="18">K92*$G$5</f>
        <v>453505.81751999998</v>
      </c>
    </row>
    <row r="93" spans="1:15" s="209" customFormat="1" x14ac:dyDescent="0.3">
      <c r="A93" s="72" t="s">
        <v>65</v>
      </c>
      <c r="B93" s="385">
        <f>IF($E93="Y1",'Third_Line_MLTS-BATS'!B92,IF(Option3a!$E93="Y",Base!B89-Option3a!I93,IF(Option3a!$E93="N",0)))</f>
        <v>0</v>
      </c>
      <c r="C93" s="385">
        <f>IF($E93="Y1",'Third_Line_MLTS-BATS'!C92,IF(Option3a!$E93="Y",Base!C89-Option3a!J93,IF(Option3a!$E93="N",0)))</f>
        <v>0</v>
      </c>
      <c r="D93" s="385">
        <f>IF($E93="Y1",'Third_Line_MLTS-BATS'!D92,IF(Option3a!$E93="Y",Base!D89-Option3a!K93,IF(Option3a!$E93="N",0)))</f>
        <v>0</v>
      </c>
      <c r="E93" s="200" t="str">
        <f t="shared" ref="E93:E101" si="19">E37</f>
        <v>N</v>
      </c>
      <c r="F93" s="52">
        <f t="shared" ref="F93:F101" si="20">IF(OR(E93="Y",E93="Y1",E93="Y2"),D93*$G$5,0)</f>
        <v>0</v>
      </c>
      <c r="H93" s="72" t="s">
        <v>65</v>
      </c>
      <c r="I93" s="40">
        <v>582.72</v>
      </c>
      <c r="J93" s="40">
        <v>8882.1200000000008</v>
      </c>
      <c r="K93" s="40">
        <v>7312.4799199999998</v>
      </c>
      <c r="L93" s="40">
        <f t="shared" si="18"/>
        <v>453008.13104399998</v>
      </c>
    </row>
    <row r="94" spans="1:15" s="209" customFormat="1" x14ac:dyDescent="0.3">
      <c r="A94" s="72" t="s">
        <v>66</v>
      </c>
      <c r="B94" s="385">
        <f>IF($E94="Y1",'Third_Line_MLTS-BATS'!B93,IF(Option3a!$E94="Y",Base!B90-Option3a!I94,IF(Option3a!$E94="N",0)))</f>
        <v>0</v>
      </c>
      <c r="C94" s="385">
        <f>IF($E94="Y1",'Third_Line_MLTS-BATS'!C93,IF(Option3a!$E94="Y",Base!C90-Option3a!J94,IF(Option3a!$E94="N",0)))</f>
        <v>0</v>
      </c>
      <c r="D94" s="385">
        <f>IF($E94="Y1",'Third_Line_MLTS-BATS'!D93,IF(Option3a!$E94="Y",Base!D90-Option3a!K94,IF(Option3a!$E94="N",0)))</f>
        <v>0</v>
      </c>
      <c r="E94" s="200" t="str">
        <f t="shared" si="19"/>
        <v>N</v>
      </c>
      <c r="F94" s="52">
        <f t="shared" si="20"/>
        <v>0</v>
      </c>
      <c r="H94" s="72" t="s">
        <v>66</v>
      </c>
      <c r="I94" s="40">
        <v>641.23</v>
      </c>
      <c r="J94" s="40">
        <v>9260.9100000000017</v>
      </c>
      <c r="K94" s="40">
        <v>7545.7432800000006</v>
      </c>
      <c r="L94" s="40">
        <f t="shared" si="18"/>
        <v>467458.79619600007</v>
      </c>
    </row>
    <row r="95" spans="1:15" s="209" customFormat="1" x14ac:dyDescent="0.3">
      <c r="A95" s="72" t="s">
        <v>67</v>
      </c>
      <c r="B95" s="385">
        <f>IF($E95="Y1",'Third_Line_MLTS-BATS'!B94,IF(Option3a!$E95="Y",Base!B91-Option3a!I95,IF(Option3a!$E95="N",0)))</f>
        <v>0</v>
      </c>
      <c r="C95" s="385">
        <f>IF($E95="Y1",'Third_Line_MLTS-BATS'!C94,IF(Option3a!$E95="Y",Base!C91-Option3a!J95,IF(Option3a!$E95="N",0)))</f>
        <v>0</v>
      </c>
      <c r="D95" s="385">
        <f>IF($E95="Y1",'Third_Line_MLTS-BATS'!D94,IF(Option3a!$E95="Y",Base!D91-Option3a!K95,IF(Option3a!$E95="N",0)))</f>
        <v>0</v>
      </c>
      <c r="E95" s="200" t="str">
        <f t="shared" si="19"/>
        <v>N</v>
      </c>
      <c r="F95" s="52">
        <f t="shared" si="20"/>
        <v>0</v>
      </c>
      <c r="H95" s="72" t="s">
        <v>67</v>
      </c>
      <c r="I95" s="40">
        <v>688.37</v>
      </c>
      <c r="J95" s="40">
        <v>9457.14</v>
      </c>
      <c r="K95" s="40">
        <v>7596.8712000000005</v>
      </c>
      <c r="L95" s="40">
        <f t="shared" si="18"/>
        <v>470626.17084000004</v>
      </c>
    </row>
    <row r="96" spans="1:15" s="209" customFormat="1" x14ac:dyDescent="0.3">
      <c r="A96" s="72" t="s">
        <v>68</v>
      </c>
      <c r="B96" s="385">
        <f>IF($E96="Y1",'Third_Line_MLTS-BATS'!B95,IF(Option3a!$E96="Y",Base!B92-Option3a!I96,IF(Option3a!$E96="N",0)))</f>
        <v>77.939999999999941</v>
      </c>
      <c r="C96" s="385">
        <f>IF($E96="Y1",'Third_Line_MLTS-BATS'!C95,IF(Option3a!$E96="Y",Base!C92-Option3a!J96,IF(Option3a!$E96="N",0)))</f>
        <v>345.6299999999992</v>
      </c>
      <c r="D96" s="385">
        <f>IF($E96="Y1",'Third_Line_MLTS-BATS'!D95,IF(Option3a!$E96="Y",Base!D92-Option3a!K96,IF(Option3a!$E96="N",0)))</f>
        <v>375.32135999999991</v>
      </c>
      <c r="E96" s="200" t="str">
        <f t="shared" si="19"/>
        <v>Y1</v>
      </c>
      <c r="F96" s="52">
        <f t="shared" si="20"/>
        <v>23251.158251999997</v>
      </c>
      <c r="H96" s="72" t="s">
        <v>68</v>
      </c>
      <c r="I96" s="40">
        <v>768.38</v>
      </c>
      <c r="J96" s="40">
        <v>9727.5600000000013</v>
      </c>
      <c r="K96" s="40">
        <v>7663.31448</v>
      </c>
      <c r="L96" s="40">
        <f t="shared" si="18"/>
        <v>474742.33203600004</v>
      </c>
    </row>
    <row r="97" spans="1:12" s="209" customFormat="1" x14ac:dyDescent="0.3">
      <c r="A97" s="72" t="s">
        <v>69</v>
      </c>
      <c r="B97" s="385">
        <f>IF($E97="Y1",'Third_Line_MLTS-BATS'!B96,IF(Option3a!$E97="Y",Base!B93-Option3a!I97,IF(Option3a!$E97="N",0)))</f>
        <v>128.41000000000008</v>
      </c>
      <c r="C97" s="385">
        <f>IF($E97="Y1",'Third_Line_MLTS-BATS'!C96,IF(Option3a!$E97="Y",Base!C93-Option3a!J97,IF(Option3a!$E97="N",0)))</f>
        <v>490.64999999999782</v>
      </c>
      <c r="D97" s="385">
        <f>IF($E97="Y1",'Third_Line_MLTS-BATS'!D96,IF(Option3a!$E97="Y",Base!D93-Option3a!K97,IF(Option3a!$E97="N",0)))</f>
        <v>480.21695999999974</v>
      </c>
      <c r="E97" s="200" t="str">
        <f t="shared" si="19"/>
        <v>Y1</v>
      </c>
      <c r="F97" s="52">
        <f t="shared" si="20"/>
        <v>29749.440671999986</v>
      </c>
      <c r="H97" s="72" t="s">
        <v>69</v>
      </c>
      <c r="I97" s="40">
        <v>864.18000000000006</v>
      </c>
      <c r="J97" s="40">
        <v>10402.289999999997</v>
      </c>
      <c r="K97" s="40">
        <v>7976.486399999998</v>
      </c>
      <c r="L97" s="40">
        <f t="shared" si="18"/>
        <v>494143.33247999992</v>
      </c>
    </row>
    <row r="98" spans="1:12" s="209" customFormat="1" x14ac:dyDescent="0.3">
      <c r="A98" s="72" t="s">
        <v>70</v>
      </c>
      <c r="B98" s="385">
        <f>IF($E98="Y1",'Third_Line_MLTS-BATS'!B97,IF(Option3a!$E98="Y",Base!B94-Option3a!I98,IF(Option3a!$E98="N",0)))</f>
        <v>175.6600000000002</v>
      </c>
      <c r="C98" s="385">
        <f>IF($E98="Y1",'Third_Line_MLTS-BATS'!C97,IF(Option3a!$E98="Y",Base!C94-Option3a!J98,IF(Option3a!$E98="N",0)))</f>
        <v>785.5099999999984</v>
      </c>
      <c r="D98" s="385">
        <f>IF($E98="Y1",'Third_Line_MLTS-BATS'!D97,IF(Option3a!$E98="Y",Base!D94-Option3a!K98,IF(Option3a!$E98="N",0)))</f>
        <v>529.06880000000092</v>
      </c>
      <c r="E98" s="200" t="str">
        <f t="shared" si="19"/>
        <v>Y</v>
      </c>
      <c r="F98" s="52">
        <f t="shared" si="20"/>
        <v>32775.81216000006</v>
      </c>
      <c r="H98" s="72" t="s">
        <v>70</v>
      </c>
      <c r="I98" s="40">
        <v>897.21999999999991</v>
      </c>
      <c r="J98" s="40">
        <v>11495.67</v>
      </c>
      <c r="K98" s="40">
        <v>8473.5962399999989</v>
      </c>
      <c r="L98" s="40">
        <f t="shared" si="18"/>
        <v>524939.28706799995</v>
      </c>
    </row>
    <row r="99" spans="1:12" s="209" customFormat="1" x14ac:dyDescent="0.3">
      <c r="A99" s="72" t="s">
        <v>71</v>
      </c>
      <c r="B99" s="385">
        <f>IF($E99="Y1",'Third_Line_MLTS-BATS'!B98,IF(Option3a!$E99="Y",Base!B95-Option3a!I99,IF(Option3a!$E99="N",0)))</f>
        <v>181.25000000000023</v>
      </c>
      <c r="C99" s="385">
        <f>IF($E99="Y1",'Third_Line_MLTS-BATS'!C98,IF(Option3a!$E99="Y",Base!C95-Option3a!J99,IF(Option3a!$E99="N",0)))</f>
        <v>891.54000000000087</v>
      </c>
      <c r="D99" s="385">
        <f>IF($E99="Y1",'Third_Line_MLTS-BATS'!D98,IF(Option3a!$E99="Y",Base!D95-Option3a!K99,IF(Option3a!$E99="N",0)))</f>
        <v>603.8066400000007</v>
      </c>
      <c r="E99" s="200" t="str">
        <f t="shared" si="19"/>
        <v>Y</v>
      </c>
      <c r="F99" s="52">
        <f t="shared" si="20"/>
        <v>37405.821348000041</v>
      </c>
      <c r="H99" s="72" t="s">
        <v>71</v>
      </c>
      <c r="I99" s="40">
        <v>937.18000000000006</v>
      </c>
      <c r="J99" s="40">
        <v>12758.739999999998</v>
      </c>
      <c r="K99" s="40">
        <v>8913.6462399999982</v>
      </c>
      <c r="L99" s="40">
        <f t="shared" si="18"/>
        <v>552200.38456799986</v>
      </c>
    </row>
    <row r="100" spans="1:12" s="209" customFormat="1" x14ac:dyDescent="0.3">
      <c r="A100" s="72" t="s">
        <v>72</v>
      </c>
      <c r="B100" s="385">
        <f>IF($E100="Y1",'Third_Line_MLTS-BATS'!B99,IF(Option3a!$E100="Y",Base!B96-Option3a!I100,IF(Option3a!$E100="N",0)))</f>
        <v>105.86999999999978</v>
      </c>
      <c r="C100" s="385">
        <f>IF($E100="Y1",'Third_Line_MLTS-BATS'!C99,IF(Option3a!$E100="Y",Base!C96-Option3a!J100,IF(Option3a!$E100="N",0)))</f>
        <v>581.17000000000189</v>
      </c>
      <c r="D100" s="385">
        <f>IF($E100="Y1",'Third_Line_MLTS-BATS'!D99,IF(Option3a!$E100="Y",Base!D96-Option3a!K100,IF(Option3a!$E100="N",0)))</f>
        <v>384.49431999999797</v>
      </c>
      <c r="E100" s="200" t="str">
        <f t="shared" si="19"/>
        <v>Y</v>
      </c>
      <c r="F100" s="52">
        <f t="shared" si="20"/>
        <v>23819.423123999877</v>
      </c>
      <c r="H100" s="72" t="s">
        <v>72</v>
      </c>
      <c r="I100" s="40">
        <v>965.82</v>
      </c>
      <c r="J100" s="40">
        <v>14257.05</v>
      </c>
      <c r="K100" s="40">
        <v>9377.1225599999998</v>
      </c>
      <c r="L100" s="40">
        <f t="shared" si="18"/>
        <v>580912.74259200005</v>
      </c>
    </row>
    <row r="101" spans="1:12" s="209" customFormat="1" x14ac:dyDescent="0.3">
      <c r="A101" s="72" t="s">
        <v>73</v>
      </c>
      <c r="B101" s="385">
        <f>IF($E101="Y1",'Third_Line_MLTS-BATS'!B100,IF(Option3a!$E101="Y",Base!B97-Option3a!I101,IF(Option3a!$E101="N",0)))</f>
        <v>110.44999999999982</v>
      </c>
      <c r="C101" s="385">
        <f>IF($E101="Y1",'Third_Line_MLTS-BATS'!C100,IF(Option3a!$E101="Y",Base!C97-Option3a!J101,IF(Option3a!$E101="N",0)))</f>
        <v>480.22999999999956</v>
      </c>
      <c r="D101" s="385">
        <f>IF($E101="Y1",'Third_Line_MLTS-BATS'!D100,IF(Option3a!$E101="Y",Base!D97-Option3a!K101,IF(Option3a!$E101="N",0)))</f>
        <v>361.4297600000009</v>
      </c>
      <c r="E101" s="200" t="str">
        <f t="shared" si="19"/>
        <v>Y</v>
      </c>
      <c r="F101" s="52">
        <f t="shared" si="20"/>
        <v>22390.573632000058</v>
      </c>
      <c r="H101" s="72" t="s">
        <v>73</v>
      </c>
      <c r="I101" s="40">
        <v>1072.27</v>
      </c>
      <c r="J101" s="40">
        <v>16729.66</v>
      </c>
      <c r="K101" s="40">
        <v>10336.607679999999</v>
      </c>
      <c r="L101" s="40">
        <f t="shared" si="18"/>
        <v>640352.84577599994</v>
      </c>
    </row>
    <row r="102" spans="1:12" s="209" customFormat="1" ht="15" thickBot="1" x14ac:dyDescent="0.35">
      <c r="E102" s="60">
        <f>SUM(COUNTIF(E92:E101,{"Y","Y1","Y2"}))</f>
        <v>6</v>
      </c>
      <c r="F102" s="62">
        <f>-PV($G$6,$G$7-E102,F101)</f>
        <v>215141.50312258783</v>
      </c>
      <c r="G102" s="55" t="s">
        <v>11</v>
      </c>
    </row>
    <row r="103" spans="1:12" ht="15" thickTop="1" x14ac:dyDescent="0.3"/>
    <row r="104" spans="1:12" x14ac:dyDescent="0.3">
      <c r="A104" s="363" t="s">
        <v>121</v>
      </c>
      <c r="B104" s="357"/>
      <c r="C104" s="357"/>
      <c r="D104" s="357"/>
      <c r="E104" s="357"/>
    </row>
    <row r="105" spans="1:12" x14ac:dyDescent="0.3">
      <c r="A105" s="408" t="s">
        <v>5</v>
      </c>
      <c r="B105" s="72" t="s">
        <v>3</v>
      </c>
      <c r="C105" s="344">
        <f>NPV_Summary!$F$35*Option1a!$G$5+Option1a!$G$5</f>
        <v>74.34</v>
      </c>
      <c r="D105" s="26">
        <f>NPV_Summary!$G$35*Option1a!$G$5+Option1a!$G$5</f>
        <v>49.56</v>
      </c>
      <c r="E105" s="357"/>
    </row>
    <row r="106" spans="1:12" ht="43.2" x14ac:dyDescent="0.3">
      <c r="A106" s="408"/>
      <c r="B106" s="51" t="s">
        <v>12</v>
      </c>
      <c r="C106" s="50" t="s">
        <v>25</v>
      </c>
      <c r="D106" s="50" t="s">
        <v>25</v>
      </c>
      <c r="E106" s="357"/>
    </row>
    <row r="107" spans="1:12" x14ac:dyDescent="0.3">
      <c r="A107" s="362" t="s">
        <v>64</v>
      </c>
      <c r="B107" s="3" t="str">
        <f>H17</f>
        <v>N</v>
      </c>
      <c r="C107" s="5">
        <f>IF(OR(B107="Y",B107="Y1",B107="Y2"),D17*$C$105/1000,0)</f>
        <v>0</v>
      </c>
      <c r="D107" s="5">
        <f>IF(OR(B107="Y",B107="Y1",B107="Y2"),D17*$D$105/1000,0)</f>
        <v>0</v>
      </c>
      <c r="E107" s="357"/>
    </row>
    <row r="108" spans="1:12" x14ac:dyDescent="0.3">
      <c r="A108" s="362" t="s">
        <v>65</v>
      </c>
      <c r="B108" s="3" t="str">
        <f t="shared" ref="B108:B116" si="21">H18</f>
        <v>N</v>
      </c>
      <c r="C108" s="5">
        <f t="shared" ref="C108:C116" si="22">IF(OR(B108="Y",B108="Y1",B108="Y2"),D18*$C$105/1000,0)</f>
        <v>0</v>
      </c>
      <c r="D108" s="5">
        <f t="shared" ref="D108:D116" si="23">IF(OR(B108="Y",B108="Y1",B108="Y2"),D18*$D$105/1000,0)</f>
        <v>0</v>
      </c>
      <c r="E108" s="357"/>
    </row>
    <row r="109" spans="1:12" x14ac:dyDescent="0.3">
      <c r="A109" s="362" t="s">
        <v>66</v>
      </c>
      <c r="B109" s="3" t="str">
        <f t="shared" si="21"/>
        <v>N</v>
      </c>
      <c r="C109" s="5">
        <f t="shared" si="22"/>
        <v>0</v>
      </c>
      <c r="D109" s="5">
        <f t="shared" si="23"/>
        <v>0</v>
      </c>
      <c r="E109" s="357"/>
    </row>
    <row r="110" spans="1:12" x14ac:dyDescent="0.3">
      <c r="A110" s="362" t="s">
        <v>67</v>
      </c>
      <c r="B110" s="3" t="str">
        <f t="shared" si="21"/>
        <v>N</v>
      </c>
      <c r="C110" s="5">
        <f t="shared" si="22"/>
        <v>0</v>
      </c>
      <c r="D110" s="5">
        <f t="shared" si="23"/>
        <v>0</v>
      </c>
      <c r="E110" s="357"/>
    </row>
    <row r="111" spans="1:12" x14ac:dyDescent="0.3">
      <c r="A111" s="362" t="s">
        <v>68</v>
      </c>
      <c r="B111" s="3" t="str">
        <f t="shared" si="21"/>
        <v>Y1</v>
      </c>
      <c r="C111" s="5">
        <f t="shared" si="22"/>
        <v>33.353058493439974</v>
      </c>
      <c r="D111" s="5">
        <f t="shared" si="23"/>
        <v>22.235372328959983</v>
      </c>
      <c r="E111" s="357"/>
    </row>
    <row r="112" spans="1:12" x14ac:dyDescent="0.3">
      <c r="A112" s="362" t="s">
        <v>69</v>
      </c>
      <c r="B112" s="3" t="str">
        <f t="shared" si="21"/>
        <v>Y1</v>
      </c>
      <c r="C112" s="5">
        <f t="shared" si="22"/>
        <v>33.800595998399956</v>
      </c>
      <c r="D112" s="5">
        <f t="shared" si="23"/>
        <v>22.533730665599972</v>
      </c>
      <c r="E112" s="357"/>
    </row>
    <row r="113" spans="1:5" x14ac:dyDescent="0.3">
      <c r="A113" s="362" t="s">
        <v>70</v>
      </c>
      <c r="B113" s="3" t="str">
        <f t="shared" si="21"/>
        <v>Y</v>
      </c>
      <c r="C113" s="5">
        <f t="shared" si="22"/>
        <v>71.064995903999986</v>
      </c>
      <c r="D113" s="5">
        <f t="shared" si="23"/>
        <v>47.376663935999986</v>
      </c>
      <c r="E113" s="357"/>
    </row>
    <row r="114" spans="1:5" x14ac:dyDescent="0.3">
      <c r="A114" s="362" t="s">
        <v>71</v>
      </c>
      <c r="B114" s="3" t="str">
        <f t="shared" si="21"/>
        <v>Y</v>
      </c>
      <c r="C114" s="5">
        <f t="shared" si="22"/>
        <v>78.880345830720017</v>
      </c>
      <c r="D114" s="5">
        <f t="shared" si="23"/>
        <v>52.586897220480012</v>
      </c>
      <c r="E114" s="357"/>
    </row>
    <row r="115" spans="1:5" x14ac:dyDescent="0.3">
      <c r="A115" s="362" t="s">
        <v>72</v>
      </c>
      <c r="B115" s="3" t="str">
        <f t="shared" si="21"/>
        <v>Y</v>
      </c>
      <c r="C115" s="5">
        <f t="shared" si="22"/>
        <v>73.21930963199992</v>
      </c>
      <c r="D115" s="5">
        <f t="shared" si="23"/>
        <v>48.812873087999947</v>
      </c>
      <c r="E115" s="357"/>
    </row>
    <row r="116" spans="1:5" x14ac:dyDescent="0.3">
      <c r="A116" s="362" t="s">
        <v>73</v>
      </c>
      <c r="B116" s="3" t="str">
        <f t="shared" si="21"/>
        <v>Y</v>
      </c>
      <c r="C116" s="5">
        <f t="shared" si="22"/>
        <v>87.762020391360082</v>
      </c>
      <c r="D116" s="5">
        <f t="shared" si="23"/>
        <v>58.508013594240062</v>
      </c>
      <c r="E116" s="357"/>
    </row>
    <row r="117" spans="1:5" x14ac:dyDescent="0.3">
      <c r="A117" s="357"/>
      <c r="B117" s="39">
        <f>SUM(COUNTIF(B107:B116,{"Y","Y1","Y2"}))</f>
        <v>6</v>
      </c>
      <c r="C117" s="47">
        <f>-PV($G$6,$G$7-B117,C116)</f>
        <v>843.26794366213937</v>
      </c>
      <c r="D117" s="47">
        <f>-PV($G$6,$G$7-B117,D116)</f>
        <v>562.17862910809311</v>
      </c>
      <c r="E117" s="357" t="s">
        <v>11</v>
      </c>
    </row>
    <row r="118" spans="1:5" ht="15" thickBot="1" x14ac:dyDescent="0.35">
      <c r="A118" s="357"/>
      <c r="B118" s="357"/>
      <c r="C118" s="13">
        <f>NPV($G$6,C107:C115,C116+C117)</f>
        <v>503.05951325534267</v>
      </c>
      <c r="D118" s="13">
        <f>NPV($G$6,D107:D115,D116+D117)</f>
        <v>335.37300883689511</v>
      </c>
      <c r="E118" s="357" t="s">
        <v>23</v>
      </c>
    </row>
    <row r="119" spans="1:5" ht="15" thickTop="1" x14ac:dyDescent="0.3"/>
  </sheetData>
  <mergeCells count="12">
    <mergeCell ref="A105:A106"/>
    <mergeCell ref="A15:I15"/>
    <mergeCell ref="A34:F34"/>
    <mergeCell ref="H34:L34"/>
    <mergeCell ref="A48:F48"/>
    <mergeCell ref="H48:L48"/>
    <mergeCell ref="A62:F62"/>
    <mergeCell ref="H62:L62"/>
    <mergeCell ref="A76:F76"/>
    <mergeCell ref="H76:L76"/>
    <mergeCell ref="A90:F90"/>
    <mergeCell ref="H90:L90"/>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topLeftCell="A10" zoomScale="55" zoomScaleNormal="55" workbookViewId="0">
      <selection activeCell="O24" sqref="O24"/>
    </sheetView>
  </sheetViews>
  <sheetFormatPr defaultRowHeight="14.4" x14ac:dyDescent="0.3"/>
  <cols>
    <col min="1" max="1" width="38.77734375" style="219" customWidth="1"/>
    <col min="2" max="12" width="15.77734375" style="219" customWidth="1"/>
    <col min="13" max="17" width="10.77734375" style="219" customWidth="1"/>
    <col min="18" max="16384" width="8.88671875" style="219"/>
  </cols>
  <sheetData>
    <row r="1" spans="1:18" x14ac:dyDescent="0.3">
      <c r="A1" s="225" t="s">
        <v>83</v>
      </c>
    </row>
    <row r="2" spans="1:18" x14ac:dyDescent="0.3">
      <c r="A2" s="225" t="s">
        <v>91</v>
      </c>
    </row>
    <row r="3" spans="1:18" x14ac:dyDescent="0.3">
      <c r="A3" s="225" t="s">
        <v>93</v>
      </c>
    </row>
    <row r="4" spans="1:18" x14ac:dyDescent="0.3">
      <c r="A4" s="225" t="s">
        <v>94</v>
      </c>
    </row>
    <row r="5" spans="1:18" x14ac:dyDescent="0.3">
      <c r="A5" s="68" t="s">
        <v>31</v>
      </c>
      <c r="B5" s="69" t="s">
        <v>33</v>
      </c>
      <c r="C5" s="69" t="s">
        <v>34</v>
      </c>
      <c r="D5" s="69" t="s">
        <v>35</v>
      </c>
      <c r="F5" s="65" t="s">
        <v>3</v>
      </c>
      <c r="G5" s="226">
        <v>61.95</v>
      </c>
    </row>
    <row r="6" spans="1:18" x14ac:dyDescent="0.3">
      <c r="A6" s="231" t="s">
        <v>4</v>
      </c>
      <c r="B6" s="232">
        <v>0.6</v>
      </c>
      <c r="C6" s="232">
        <v>27.8</v>
      </c>
      <c r="D6" s="232">
        <v>77.2</v>
      </c>
      <c r="F6" s="66" t="s">
        <v>2</v>
      </c>
      <c r="G6" s="227">
        <v>0.1</v>
      </c>
    </row>
    <row r="7" spans="1:18" x14ac:dyDescent="0.3">
      <c r="A7" s="231" t="s">
        <v>36</v>
      </c>
      <c r="B7" s="233">
        <v>0.02</v>
      </c>
      <c r="C7" s="233">
        <v>0.02</v>
      </c>
      <c r="D7" s="233">
        <v>0.02</v>
      </c>
      <c r="F7" s="66" t="s">
        <v>1</v>
      </c>
      <c r="G7" s="228">
        <v>40</v>
      </c>
    </row>
    <row r="8" spans="1:18" x14ac:dyDescent="0.3">
      <c r="A8" s="231" t="s">
        <v>30</v>
      </c>
      <c r="B8" s="234">
        <f>-PV($G$6,$G$7,B6*B7)</f>
        <v>0.1173486086217384</v>
      </c>
      <c r="C8" s="32">
        <f>-PV($G$6,$G$7,C6*C7)</f>
        <v>5.4371521994738794</v>
      </c>
      <c r="D8" s="32">
        <f>-PV($G$6,$G$7,D6*D7)</f>
        <v>15.09885430933034</v>
      </c>
      <c r="F8" s="66" t="s">
        <v>6</v>
      </c>
      <c r="G8" s="227">
        <v>0.2</v>
      </c>
    </row>
    <row r="9" spans="1:18" x14ac:dyDescent="0.3">
      <c r="A9" s="231" t="s">
        <v>32</v>
      </c>
      <c r="B9" s="359">
        <f>B6+B8</f>
        <v>0.71734860862173844</v>
      </c>
      <c r="C9" s="32">
        <f>C6+C8</f>
        <v>33.237152199473883</v>
      </c>
      <c r="D9" s="32">
        <f>D6+D8</f>
        <v>92.298854309330338</v>
      </c>
      <c r="F9" s="66" t="s">
        <v>7</v>
      </c>
      <c r="G9" s="227">
        <v>0.2</v>
      </c>
    </row>
    <row r="10" spans="1:18" x14ac:dyDescent="0.3">
      <c r="A10" s="231" t="s">
        <v>15</v>
      </c>
      <c r="B10" s="234">
        <f>-PMT($G$6,$G$7,B9)</f>
        <v>7.3355648648621694E-2</v>
      </c>
      <c r="C10" s="32">
        <f>-PMT($G$6,$G$7,C9)</f>
        <v>3.3988117207194719</v>
      </c>
      <c r="D10" s="32">
        <f>-PMT($G$6,$G$7,D9)</f>
        <v>9.4384267927893255</v>
      </c>
      <c r="F10" s="66" t="s">
        <v>8</v>
      </c>
      <c r="G10" s="227">
        <v>0.2</v>
      </c>
    </row>
    <row r="11" spans="1:18" x14ac:dyDescent="0.3">
      <c r="B11" s="230"/>
      <c r="C11" s="230"/>
      <c r="D11" s="230"/>
      <c r="F11" s="66" t="s">
        <v>9</v>
      </c>
      <c r="G11" s="227">
        <v>0.2</v>
      </c>
    </row>
    <row r="12" spans="1:18" x14ac:dyDescent="0.3">
      <c r="A12" s="223" t="s">
        <v>28</v>
      </c>
      <c r="B12" s="235">
        <f>SUM(B9:D9)</f>
        <v>126.25335511742597</v>
      </c>
      <c r="C12" s="230"/>
      <c r="D12" s="230"/>
      <c r="F12" s="67" t="s">
        <v>10</v>
      </c>
      <c r="G12" s="229">
        <v>0.2</v>
      </c>
    </row>
    <row r="13" spans="1:18" x14ac:dyDescent="0.3">
      <c r="A13" s="224" t="s">
        <v>29</v>
      </c>
      <c r="B13" s="236">
        <f>-PMT($G$6,$G$7,B12)</f>
        <v>12.910594162157418</v>
      </c>
      <c r="C13" s="230"/>
      <c r="D13" s="230"/>
    </row>
    <row r="15" spans="1:18" ht="15.6" x14ac:dyDescent="0.3">
      <c r="A15" s="397" t="s">
        <v>57</v>
      </c>
      <c r="B15" s="397"/>
      <c r="C15" s="397"/>
      <c r="D15" s="397"/>
      <c r="E15" s="397"/>
      <c r="F15" s="397"/>
      <c r="G15" s="397"/>
      <c r="H15" s="397"/>
      <c r="I15" s="397"/>
      <c r="M15" s="380"/>
      <c r="N15" s="380"/>
      <c r="O15" s="380"/>
      <c r="P15" s="380"/>
      <c r="Q15" s="380"/>
      <c r="R15" s="237"/>
    </row>
    <row r="16" spans="1:18" s="230" customFormat="1" ht="57.6" x14ac:dyDescent="0.3">
      <c r="A16" s="40" t="s">
        <v>5</v>
      </c>
      <c r="B16" s="51" t="s">
        <v>151</v>
      </c>
      <c r="C16" s="51" t="s">
        <v>152</v>
      </c>
      <c r="D16" s="51" t="s">
        <v>153</v>
      </c>
      <c r="E16" s="50" t="s">
        <v>25</v>
      </c>
      <c r="F16" s="50" t="s">
        <v>15</v>
      </c>
      <c r="G16" s="51" t="s">
        <v>155</v>
      </c>
      <c r="H16" s="50" t="s">
        <v>12</v>
      </c>
      <c r="I16" s="50" t="s">
        <v>24</v>
      </c>
      <c r="J16" s="35"/>
      <c r="K16" s="35"/>
      <c r="M16" s="36"/>
      <c r="N16" s="37"/>
      <c r="O16" s="37"/>
      <c r="P16" s="37"/>
      <c r="Q16" s="38"/>
      <c r="R16" s="39"/>
    </row>
    <row r="17" spans="1:18" s="230" customFormat="1" x14ac:dyDescent="0.3">
      <c r="A17" s="72" t="s">
        <v>64</v>
      </c>
      <c r="B17" s="40">
        <f>MAX(B36,B50,B64,B78,B92)</f>
        <v>0</v>
      </c>
      <c r="C17" s="40">
        <f>MAX(C36,C50,C64,C78,C92)</f>
        <v>0</v>
      </c>
      <c r="D17" s="40">
        <f t="shared" ref="D17:D26" si="0">$G$8*D36+$G$9*D50+$G$10*D64+$G$11*D78+$G$12*D92</f>
        <v>0</v>
      </c>
      <c r="E17" s="41">
        <f t="shared" ref="E17:E26" si="1">D17*$G$5/1000</f>
        <v>0</v>
      </c>
      <c r="F17" s="41">
        <f>IF($H17="Y1",$B$10,IF($H17="Y2",$B$10+$C$10,IF($H17="Y",$B$13,IF($H17="N",0))))</f>
        <v>0</v>
      </c>
      <c r="G17" s="41">
        <f>E17-F17</f>
        <v>0</v>
      </c>
      <c r="H17" s="42" t="s">
        <v>14</v>
      </c>
      <c r="I17" s="41">
        <f>IF(OR(H17="Y",H17="Y1",H17="Y2"),E17,)</f>
        <v>0</v>
      </c>
      <c r="J17" s="43"/>
      <c r="K17" s="43"/>
      <c r="M17" s="44"/>
      <c r="N17" s="45"/>
      <c r="O17" s="45"/>
      <c r="P17" s="45"/>
      <c r="Q17" s="33"/>
      <c r="R17" s="39"/>
    </row>
    <row r="18" spans="1:18" s="230" customFormat="1" x14ac:dyDescent="0.3">
      <c r="A18" s="72" t="s">
        <v>65</v>
      </c>
      <c r="B18" s="40">
        <f t="shared" ref="B18:C26" si="2">MAX(B37,B51,B65,B79,B93)</f>
        <v>0</v>
      </c>
      <c r="C18" s="40">
        <f t="shared" si="2"/>
        <v>0</v>
      </c>
      <c r="D18" s="40">
        <f t="shared" si="0"/>
        <v>0</v>
      </c>
      <c r="E18" s="41">
        <f t="shared" si="1"/>
        <v>0</v>
      </c>
      <c r="F18" s="41">
        <f t="shared" ref="F18:F26" si="3">IF($H18="Y1",$B$10,IF($H18="Y2",$B$10+$C$10,IF($H18="Y",$B$13,IF($H18="N",0))))</f>
        <v>0</v>
      </c>
      <c r="G18" s="41">
        <f t="shared" ref="G18:G26" si="4">E18-F18</f>
        <v>0</v>
      </c>
      <c r="H18" s="42" t="s">
        <v>14</v>
      </c>
      <c r="I18" s="41">
        <f t="shared" ref="I18:I26" si="5">IF(OR(H18="Y",H18="Y1",H18="Y2"),E18,)</f>
        <v>0</v>
      </c>
      <c r="J18" s="43"/>
      <c r="K18" s="43"/>
      <c r="M18" s="44"/>
      <c r="N18" s="45"/>
      <c r="O18" s="45"/>
      <c r="P18" s="45"/>
      <c r="Q18" s="33"/>
      <c r="R18" s="39"/>
    </row>
    <row r="19" spans="1:18" s="230" customFormat="1" x14ac:dyDescent="0.3">
      <c r="A19" s="72" t="s">
        <v>66</v>
      </c>
      <c r="B19" s="40">
        <f t="shared" si="2"/>
        <v>43.5</v>
      </c>
      <c r="C19" s="40">
        <f t="shared" si="2"/>
        <v>235.40999999999985</v>
      </c>
      <c r="D19" s="40">
        <f t="shared" si="0"/>
        <v>107.95287999999982</v>
      </c>
      <c r="E19" s="41">
        <f t="shared" si="1"/>
        <v>6.687680915999989</v>
      </c>
      <c r="F19" s="41">
        <f t="shared" si="3"/>
        <v>7.3355648648621694E-2</v>
      </c>
      <c r="G19" s="41">
        <f t="shared" si="4"/>
        <v>6.6143252673513677</v>
      </c>
      <c r="H19" s="42" t="s">
        <v>49</v>
      </c>
      <c r="I19" s="41">
        <f t="shared" si="5"/>
        <v>6.687680915999989</v>
      </c>
      <c r="J19" s="43"/>
      <c r="K19" s="43"/>
      <c r="M19" s="44"/>
      <c r="N19" s="45"/>
      <c r="O19" s="45"/>
      <c r="P19" s="45"/>
      <c r="Q19" s="33"/>
      <c r="R19" s="39"/>
    </row>
    <row r="20" spans="1:18" s="230" customFormat="1" x14ac:dyDescent="0.3">
      <c r="A20" s="72" t="s">
        <v>67</v>
      </c>
      <c r="B20" s="40">
        <f t="shared" si="2"/>
        <v>40.400000000000091</v>
      </c>
      <c r="C20" s="40">
        <f t="shared" si="2"/>
        <v>276.59000000000015</v>
      </c>
      <c r="D20" s="40">
        <f t="shared" si="0"/>
        <v>156.99766400000044</v>
      </c>
      <c r="E20" s="41">
        <f t="shared" si="1"/>
        <v>9.726005284800026</v>
      </c>
      <c r="F20" s="41">
        <f t="shared" si="3"/>
        <v>7.3355648648621694E-2</v>
      </c>
      <c r="G20" s="41">
        <f t="shared" si="4"/>
        <v>9.6526496361514038</v>
      </c>
      <c r="H20" s="42" t="s">
        <v>49</v>
      </c>
      <c r="I20" s="41">
        <f t="shared" si="5"/>
        <v>9.726005284800026</v>
      </c>
      <c r="J20" s="43"/>
      <c r="K20" s="43"/>
      <c r="M20" s="44"/>
      <c r="N20" s="45"/>
      <c r="O20" s="45"/>
      <c r="P20" s="45"/>
      <c r="Q20" s="33"/>
      <c r="R20" s="39"/>
    </row>
    <row r="21" spans="1:18" s="230" customFormat="1" x14ac:dyDescent="0.3">
      <c r="A21" s="72" t="s">
        <v>68</v>
      </c>
      <c r="B21" s="40">
        <f t="shared" si="2"/>
        <v>318.52000000000044</v>
      </c>
      <c r="C21" s="40">
        <f t="shared" si="2"/>
        <v>1312.8199999999961</v>
      </c>
      <c r="D21" s="40">
        <f t="shared" si="0"/>
        <v>631.37591999999904</v>
      </c>
      <c r="E21" s="41">
        <f t="shared" si="1"/>
        <v>39.11373824399994</v>
      </c>
      <c r="F21" s="41">
        <f t="shared" si="3"/>
        <v>3.4721673693680937</v>
      </c>
      <c r="G21" s="41">
        <f t="shared" si="4"/>
        <v>35.641570874631846</v>
      </c>
      <c r="H21" s="42" t="s">
        <v>50</v>
      </c>
      <c r="I21" s="41">
        <f t="shared" si="5"/>
        <v>39.11373824399994</v>
      </c>
      <c r="J21" s="43"/>
      <c r="K21" s="43"/>
      <c r="M21" s="44"/>
      <c r="N21" s="45"/>
      <c r="O21" s="45"/>
      <c r="P21" s="45"/>
      <c r="Q21" s="33"/>
      <c r="R21" s="39"/>
    </row>
    <row r="22" spans="1:18" s="230" customFormat="1" x14ac:dyDescent="0.3">
      <c r="A22" s="72" t="s">
        <v>69</v>
      </c>
      <c r="B22" s="40">
        <f t="shared" si="2"/>
        <v>306.2399999999999</v>
      </c>
      <c r="C22" s="40">
        <f t="shared" si="2"/>
        <v>1512.2399999999998</v>
      </c>
      <c r="D22" s="40">
        <f t="shared" si="0"/>
        <v>691.36847999999895</v>
      </c>
      <c r="E22" s="41">
        <f t="shared" si="1"/>
        <v>42.830277335999931</v>
      </c>
      <c r="F22" s="41">
        <f t="shared" si="3"/>
        <v>3.4721673693680937</v>
      </c>
      <c r="G22" s="41">
        <f t="shared" si="4"/>
        <v>39.358109966631837</v>
      </c>
      <c r="H22" s="42" t="s">
        <v>50</v>
      </c>
      <c r="I22" s="41">
        <f t="shared" si="5"/>
        <v>42.830277335999931</v>
      </c>
      <c r="J22" s="43"/>
      <c r="K22" s="43"/>
      <c r="M22" s="44"/>
      <c r="N22" s="45"/>
      <c r="O22" s="45"/>
      <c r="P22" s="45"/>
      <c r="Q22" s="33"/>
      <c r="R22" s="39"/>
    </row>
    <row r="23" spans="1:18" s="230" customFormat="1" x14ac:dyDescent="0.3">
      <c r="A23" s="72" t="s">
        <v>70</v>
      </c>
      <c r="B23" s="40">
        <f t="shared" si="2"/>
        <v>302.52000000000021</v>
      </c>
      <c r="C23" s="40">
        <f t="shared" si="2"/>
        <v>2402.1599999999962</v>
      </c>
      <c r="D23" s="40">
        <f t="shared" si="0"/>
        <v>954.94361599999911</v>
      </c>
      <c r="E23" s="41">
        <f t="shared" si="1"/>
        <v>59.158757011199945</v>
      </c>
      <c r="F23" s="41">
        <f t="shared" si="3"/>
        <v>12.910594162157418</v>
      </c>
      <c r="G23" s="41">
        <f t="shared" si="4"/>
        <v>46.248162849042529</v>
      </c>
      <c r="H23" s="42" t="s">
        <v>13</v>
      </c>
      <c r="I23" s="41">
        <f t="shared" si="5"/>
        <v>59.158757011199945</v>
      </c>
      <c r="J23" s="43"/>
      <c r="K23" s="43"/>
      <c r="M23" s="44"/>
      <c r="N23" s="45"/>
      <c r="O23" s="45"/>
      <c r="P23" s="45"/>
      <c r="Q23" s="33"/>
      <c r="R23" s="39"/>
    </row>
    <row r="24" spans="1:18" s="230" customFormat="1" x14ac:dyDescent="0.3">
      <c r="A24" s="72" t="s">
        <v>71</v>
      </c>
      <c r="B24" s="40">
        <f t="shared" si="2"/>
        <v>341.38</v>
      </c>
      <c r="C24" s="40">
        <f t="shared" si="2"/>
        <v>2927.3299999999945</v>
      </c>
      <c r="D24" s="40">
        <f t="shared" si="0"/>
        <v>1059.4221279999995</v>
      </c>
      <c r="E24" s="41">
        <f t="shared" si="1"/>
        <v>65.631200829599976</v>
      </c>
      <c r="F24" s="41">
        <f t="shared" si="3"/>
        <v>12.910594162157418</v>
      </c>
      <c r="G24" s="41">
        <f t="shared" si="4"/>
        <v>52.72060666744256</v>
      </c>
      <c r="H24" s="42" t="s">
        <v>13</v>
      </c>
      <c r="I24" s="41">
        <f t="shared" si="5"/>
        <v>65.631200829599976</v>
      </c>
      <c r="J24" s="43"/>
      <c r="K24" s="43"/>
      <c r="M24" s="44"/>
      <c r="N24" s="45"/>
      <c r="O24" s="45"/>
      <c r="P24" s="45"/>
      <c r="Q24" s="33"/>
      <c r="R24" s="39"/>
    </row>
    <row r="25" spans="1:18" s="230" customFormat="1" x14ac:dyDescent="0.3">
      <c r="A25" s="72" t="s">
        <v>72</v>
      </c>
      <c r="B25" s="40">
        <f t="shared" si="2"/>
        <v>306.24</v>
      </c>
      <c r="C25" s="40">
        <f t="shared" si="2"/>
        <v>3242.850000000004</v>
      </c>
      <c r="D25" s="40">
        <f t="shared" si="0"/>
        <v>984.85831999999948</v>
      </c>
      <c r="E25" s="41">
        <f t="shared" si="1"/>
        <v>61.01197292399997</v>
      </c>
      <c r="F25" s="41">
        <f t="shared" si="3"/>
        <v>12.910594162157418</v>
      </c>
      <c r="G25" s="41">
        <f t="shared" si="4"/>
        <v>48.101378761842554</v>
      </c>
      <c r="H25" s="42" t="s">
        <v>13</v>
      </c>
      <c r="I25" s="41">
        <f t="shared" si="5"/>
        <v>61.01197292399997</v>
      </c>
      <c r="J25" s="43"/>
      <c r="K25" s="43"/>
      <c r="M25" s="44"/>
      <c r="N25" s="45"/>
      <c r="O25" s="45"/>
      <c r="P25" s="45"/>
      <c r="Q25" s="33"/>
      <c r="R25" s="39"/>
    </row>
    <row r="26" spans="1:18" s="230" customFormat="1" x14ac:dyDescent="0.3">
      <c r="A26" s="72" t="s">
        <v>73</v>
      </c>
      <c r="B26" s="40">
        <f t="shared" si="2"/>
        <v>321.0200000000001</v>
      </c>
      <c r="C26" s="40">
        <f t="shared" si="2"/>
        <v>4411.1399999999994</v>
      </c>
      <c r="D26" s="40">
        <f t="shared" si="0"/>
        <v>1179.8885600000006</v>
      </c>
      <c r="E26" s="41">
        <f t="shared" si="1"/>
        <v>73.094096292000032</v>
      </c>
      <c r="F26" s="41">
        <f t="shared" si="3"/>
        <v>12.910594162157418</v>
      </c>
      <c r="G26" s="41">
        <f t="shared" si="4"/>
        <v>60.183502129842616</v>
      </c>
      <c r="H26" s="42" t="s">
        <v>13</v>
      </c>
      <c r="I26" s="41">
        <f t="shared" si="5"/>
        <v>73.094096292000032</v>
      </c>
      <c r="J26" s="43"/>
      <c r="K26" s="43"/>
      <c r="M26" s="44"/>
      <c r="N26" s="45"/>
      <c r="O26" s="45"/>
      <c r="P26" s="45"/>
      <c r="Q26" s="33"/>
      <c r="R26" s="39"/>
    </row>
    <row r="27" spans="1:18" s="230" customFormat="1" x14ac:dyDescent="0.3">
      <c r="G27" s="57"/>
      <c r="H27" s="39">
        <f>SUM(COUNTIF(H17:H26,{"Y","Y1","Y2"}))</f>
        <v>8</v>
      </c>
      <c r="I27" s="47">
        <f>-PV($G$6,$G$7-H27,I26)</f>
        <v>696.32181487577895</v>
      </c>
      <c r="J27" s="56" t="s">
        <v>11</v>
      </c>
      <c r="K27" s="47"/>
      <c r="L27" s="39"/>
      <c r="M27" s="39"/>
      <c r="Q27" s="45"/>
    </row>
    <row r="28" spans="1:18" s="351" customFormat="1" ht="15" thickBot="1" x14ac:dyDescent="0.35">
      <c r="G28" s="57"/>
      <c r="H28" s="39"/>
      <c r="I28" s="61">
        <f>NPV($G$6,I17:I25,I26+I27)</f>
        <v>443.6240849298581</v>
      </c>
      <c r="J28" s="56" t="s">
        <v>23</v>
      </c>
      <c r="K28" s="47"/>
      <c r="L28" s="39"/>
      <c r="M28" s="39"/>
      <c r="Q28" s="45"/>
    </row>
    <row r="29" spans="1:18" s="230" customFormat="1" ht="15" thickTop="1" x14ac:dyDescent="0.3">
      <c r="I29" s="47"/>
      <c r="J29" s="39"/>
      <c r="K29" s="47"/>
      <c r="L29" s="39"/>
      <c r="M29" s="39"/>
    </row>
    <row r="30" spans="1:18" s="230" customFormat="1" ht="43.2" x14ac:dyDescent="0.3">
      <c r="A30" s="34"/>
      <c r="B30" s="63" t="s">
        <v>16</v>
      </c>
      <c r="C30" s="63" t="s">
        <v>17</v>
      </c>
      <c r="D30" s="63" t="s">
        <v>18</v>
      </c>
      <c r="E30" s="63" t="s">
        <v>19</v>
      </c>
      <c r="F30" s="63" t="s">
        <v>20</v>
      </c>
      <c r="G30" s="63" t="s">
        <v>21</v>
      </c>
      <c r="H30" s="64" t="s">
        <v>28</v>
      </c>
      <c r="I30" s="64" t="s">
        <v>37</v>
      </c>
      <c r="K30" s="39"/>
      <c r="L30" s="39"/>
      <c r="M30" s="39"/>
    </row>
    <row r="31" spans="1:18" s="230" customFormat="1" x14ac:dyDescent="0.3">
      <c r="A31" s="222" t="s">
        <v>22</v>
      </c>
      <c r="B31" s="48">
        <f>NPV($G$6,F36:F44,F45+F46)/1000</f>
        <v>312.10236569232598</v>
      </c>
      <c r="C31" s="48">
        <f>NPV($G$6,F50:F58,F59+F60)/1000</f>
        <v>814.29950705968838</v>
      </c>
      <c r="D31" s="48">
        <f>NPV($G$6,F64:F72,F73+F74)/1000</f>
        <v>314.52912745322897</v>
      </c>
      <c r="E31" s="48">
        <f>NPV($G$6,F78:F86,F87+F88)/1000</f>
        <v>570.97992696885774</v>
      </c>
      <c r="F31" s="48">
        <f>NPV($G$6,F92:F100,F101+F102)/1000</f>
        <v>206.20949747518927</v>
      </c>
      <c r="G31" s="49">
        <f>B31*G8+C31*G9+D31*G10+E31*G11+F31*G12</f>
        <v>443.62408492985804</v>
      </c>
      <c r="H31" s="234">
        <f>B12</f>
        <v>126.25335511742597</v>
      </c>
      <c r="I31" s="48">
        <f>G31-H31</f>
        <v>317.37072981243205</v>
      </c>
    </row>
    <row r="32" spans="1:18" s="230" customFormat="1" x14ac:dyDescent="0.3">
      <c r="I32" s="238"/>
    </row>
    <row r="33" spans="1:14" s="230" customFormat="1" x14ac:dyDescent="0.3"/>
    <row r="34" spans="1:14" s="230" customFormat="1" ht="15.6" x14ac:dyDescent="0.3">
      <c r="A34" s="409" t="s">
        <v>52</v>
      </c>
      <c r="B34" s="410"/>
      <c r="C34" s="410"/>
      <c r="D34" s="410"/>
      <c r="E34" s="410"/>
      <c r="F34" s="411"/>
      <c r="H34" s="406" t="s">
        <v>59</v>
      </c>
      <c r="I34" s="406"/>
      <c r="J34" s="406"/>
      <c r="K34" s="406"/>
      <c r="L34" s="406"/>
    </row>
    <row r="35" spans="1:14" s="230" customFormat="1" ht="57.6" x14ac:dyDescent="0.3">
      <c r="A35" s="220" t="s">
        <v>5</v>
      </c>
      <c r="B35" s="51" t="s">
        <v>151</v>
      </c>
      <c r="C35" s="51" t="s">
        <v>152</v>
      </c>
      <c r="D35" s="51" t="s">
        <v>153</v>
      </c>
      <c r="E35" s="51" t="s">
        <v>12</v>
      </c>
      <c r="F35" s="51" t="s">
        <v>134</v>
      </c>
      <c r="H35" s="220" t="s">
        <v>5</v>
      </c>
      <c r="I35" s="51" t="s">
        <v>75</v>
      </c>
      <c r="J35" s="51" t="s">
        <v>51</v>
      </c>
      <c r="K35" s="50" t="s">
        <v>0</v>
      </c>
      <c r="L35" s="51" t="s">
        <v>58</v>
      </c>
    </row>
    <row r="36" spans="1:14" s="230" customFormat="1" x14ac:dyDescent="0.3">
      <c r="A36" s="72" t="s">
        <v>64</v>
      </c>
      <c r="B36" s="40">
        <f>IF($E36="Y1",'WindMonitoring_BATS-BETS'!B35,IF($E36="Y2",'WindMonitoring_BATS-BETS'!B35+'Third_Line_MLTS-BATS'!B35,IF($E36="Y",Base!B32-Option3b!I36,IF($E36="N",0))))</f>
        <v>0</v>
      </c>
      <c r="C36" s="385">
        <f>IF($E36="Y1",'WindMonitoring_BATS-BETS'!C35,IF($E36="Y2",'WindMonitoring_BATS-BETS'!C35+'Third_Line_MLTS-BATS'!C35,IF($E36="Y",Base!C32-Option3b!J36,IF($E36="N",0))))</f>
        <v>0</v>
      </c>
      <c r="D36" s="385">
        <f>IF($E36="Y1",'WindMonitoring_BATS-BETS'!D35,IF($E36="Y2",'WindMonitoring_BATS-BETS'!D35+'Third_Line_MLTS-BATS'!D35,IF($E36="Y",Base!D32-Option3b!K36,IF($E36="N",0))))</f>
        <v>0</v>
      </c>
      <c r="E36" s="221" t="str">
        <f t="shared" ref="E36:E45" si="6">H17</f>
        <v>N</v>
      </c>
      <c r="F36" s="52">
        <f>IF(OR(E36="Y",E36="Y1",E36="Y2"),D36*$G$5,0)</f>
        <v>0</v>
      </c>
      <c r="H36" s="72" t="s">
        <v>64</v>
      </c>
      <c r="I36" s="40">
        <v>553.59</v>
      </c>
      <c r="J36" s="40">
        <v>8763.4800000000014</v>
      </c>
      <c r="K36" s="40">
        <v>7320.4771199999996</v>
      </c>
      <c r="L36" s="40">
        <f t="shared" ref="L36:L45" si="7">K36*$G$5</f>
        <v>453503.55758399999</v>
      </c>
      <c r="N36" s="53"/>
    </row>
    <row r="37" spans="1:14" s="230" customFormat="1" x14ac:dyDescent="0.3">
      <c r="A37" s="72" t="s">
        <v>65</v>
      </c>
      <c r="B37" s="387">
        <f>IF($E37="Y1",'WindMonitoring_BATS-BETS'!B36,IF($E37="Y2",'WindMonitoring_BATS-BETS'!B36+'Third_Line_MLTS-BATS'!B36,IF($E37="Y",Base!B33-Option3b!I37,IF($E37="N",0))))</f>
        <v>0</v>
      </c>
      <c r="C37" s="387">
        <f>IF($E37="Y1",'WindMonitoring_BATS-BETS'!C36,IF($E37="Y2",'WindMonitoring_BATS-BETS'!C36+'Third_Line_MLTS-BATS'!C36,IF($E37="Y",Base!C33-Option3b!J37,IF($E37="N",0))))</f>
        <v>0</v>
      </c>
      <c r="D37" s="387">
        <f>IF($E37="Y1",'WindMonitoring_BATS-BETS'!D36,IF($E37="Y2",'WindMonitoring_BATS-BETS'!D36+'Third_Line_MLTS-BATS'!D36,IF($E37="Y",Base!D33-Option3b!K37,IF($E37="N",0))))</f>
        <v>0</v>
      </c>
      <c r="E37" s="221" t="str">
        <f t="shared" si="6"/>
        <v>N</v>
      </c>
      <c r="F37" s="52">
        <f t="shared" ref="F37:F45" si="8">IF(OR(E37="Y",E37="Y1",E37="Y2"),D37*$G$5,0)</f>
        <v>0</v>
      </c>
      <c r="H37" s="72" t="s">
        <v>65</v>
      </c>
      <c r="I37" s="40">
        <v>597.82000000000005</v>
      </c>
      <c r="J37" s="40">
        <v>8920.630000000001</v>
      </c>
      <c r="K37" s="40">
        <v>7324.1869599999991</v>
      </c>
      <c r="L37" s="40">
        <f t="shared" si="7"/>
        <v>453733.38217199995</v>
      </c>
    </row>
    <row r="38" spans="1:14" s="230" customFormat="1" x14ac:dyDescent="0.3">
      <c r="A38" s="72" t="s">
        <v>66</v>
      </c>
      <c r="B38" s="387">
        <f>IF($E38="Y1",'WindMonitoring_BATS-BETS'!B37,IF($E38="Y2",'WindMonitoring_BATS-BETS'!B37+'Third_Line_MLTS-BATS'!B37,IF($E38="Y",Base!B34-Option3b!I38,IF($E38="N",0))))</f>
        <v>41.490000000000009</v>
      </c>
      <c r="C38" s="387">
        <f>IF($E38="Y1",'WindMonitoring_BATS-BETS'!C37,IF($E38="Y2",'WindMonitoring_BATS-BETS'!C37+'Third_Line_MLTS-BATS'!C37,IF($E38="Y",Base!C34-Option3b!J38,IF($E38="N",0))))</f>
        <v>156.84999999999854</v>
      </c>
      <c r="D38" s="387">
        <f>IF($E38="Y1",'WindMonitoring_BATS-BETS'!D37,IF($E38="Y2",'WindMonitoring_BATS-BETS'!D37+'Third_Line_MLTS-BATS'!D37,IF($E38="Y",Base!D34-Option3b!K38,IF($E38="N",0))))</f>
        <v>121.98735999999826</v>
      </c>
      <c r="E38" s="221" t="str">
        <f t="shared" si="6"/>
        <v>Y1</v>
      </c>
      <c r="F38" s="52">
        <f t="shared" si="8"/>
        <v>7557.116951999893</v>
      </c>
      <c r="H38" s="72" t="s">
        <v>66</v>
      </c>
      <c r="I38" s="40">
        <v>664.38</v>
      </c>
      <c r="J38" s="40">
        <v>9325.0300000000007</v>
      </c>
      <c r="K38" s="40">
        <v>7568.1867999999995</v>
      </c>
      <c r="L38" s="40">
        <f t="shared" si="7"/>
        <v>468849.17225999996</v>
      </c>
    </row>
    <row r="39" spans="1:14" s="230" customFormat="1" x14ac:dyDescent="0.3">
      <c r="A39" s="72" t="s">
        <v>67</v>
      </c>
      <c r="B39" s="387">
        <f>IF($E39="Y1",'WindMonitoring_BATS-BETS'!B38,IF($E39="Y2",'WindMonitoring_BATS-BETS'!B38+'Third_Line_MLTS-BATS'!B38,IF($E39="Y",Base!B35-Option3b!I39,IF($E39="N",0))))</f>
        <v>30.360000000000014</v>
      </c>
      <c r="C39" s="387">
        <f>IF($E39="Y1",'WindMonitoring_BATS-BETS'!C38,IF($E39="Y2",'WindMonitoring_BATS-BETS'!C38+'Third_Line_MLTS-BATS'!C38,IF($E39="Y",Base!C35-Option3b!J39,IF($E39="N",0))))</f>
        <v>140.79000000000087</v>
      </c>
      <c r="D39" s="387">
        <f>IF($E39="Y1",'WindMonitoring_BATS-BETS'!D38,IF($E39="Y2",'WindMonitoring_BATS-BETS'!D38+'Third_Line_MLTS-BATS'!D38,IF($E39="Y",Base!D35-Option3b!K39,IF($E39="N",0))))</f>
        <v>147.13752000000022</v>
      </c>
      <c r="E39" s="221" t="str">
        <f t="shared" si="6"/>
        <v>Y1</v>
      </c>
      <c r="F39" s="52">
        <f t="shared" si="8"/>
        <v>9115.169364000014</v>
      </c>
      <c r="H39" s="72" t="s">
        <v>67</v>
      </c>
      <c r="I39" s="40">
        <v>700.25</v>
      </c>
      <c r="J39" s="40">
        <v>9479</v>
      </c>
      <c r="K39" s="40">
        <v>7596.6123200000002</v>
      </c>
      <c r="L39" s="40">
        <f t="shared" si="7"/>
        <v>470610.13322400005</v>
      </c>
    </row>
    <row r="40" spans="1:14" s="230" customFormat="1" x14ac:dyDescent="0.3">
      <c r="A40" s="72" t="s">
        <v>68</v>
      </c>
      <c r="B40" s="387">
        <f>IF($E40="Y1",'WindMonitoring_BATS-BETS'!B39,IF($E40="Y2",'WindMonitoring_BATS-BETS'!B39+'Third_Line_MLTS-BATS'!B39,IF($E40="Y",Base!B36-Option3b!I40,IF($E40="N",0))))</f>
        <v>263.47000000000003</v>
      </c>
      <c r="C40" s="387">
        <f>IF($E40="Y1",'WindMonitoring_BATS-BETS'!C39,IF($E40="Y2",'WindMonitoring_BATS-BETS'!C39+'Third_Line_MLTS-BATS'!C39,IF($E40="Y",Base!C36-Option3b!J40,IF($E40="N",0))))</f>
        <v>612.01999999999862</v>
      </c>
      <c r="D40" s="387">
        <f>IF($E40="Y1",'WindMonitoring_BATS-BETS'!D39,IF($E40="Y2",'WindMonitoring_BATS-BETS'!D39+'Third_Line_MLTS-BATS'!D39,IF($E40="Y",Base!D36-Option3b!K40,IF($E40="N",0))))</f>
        <v>371.54751999999826</v>
      </c>
      <c r="E40" s="221" t="str">
        <f t="shared" si="6"/>
        <v>Y2</v>
      </c>
      <c r="F40" s="52">
        <f t="shared" si="8"/>
        <v>23017.368863999895</v>
      </c>
      <c r="H40" s="72" t="s">
        <v>68</v>
      </c>
      <c r="I40" s="40">
        <v>797.07</v>
      </c>
      <c r="J40" s="40">
        <v>9809.8100000000013</v>
      </c>
      <c r="K40" s="40">
        <v>7711.8154400000003</v>
      </c>
      <c r="L40" s="40">
        <f t="shared" si="7"/>
        <v>477746.96650800004</v>
      </c>
    </row>
    <row r="41" spans="1:14" s="230" customFormat="1" x14ac:dyDescent="0.3">
      <c r="A41" s="72" t="s">
        <v>69</v>
      </c>
      <c r="B41" s="387">
        <f>IF($E41="Y1",'WindMonitoring_BATS-BETS'!B40,IF($E41="Y2",'WindMonitoring_BATS-BETS'!B40+'Third_Line_MLTS-BATS'!B40,IF($E41="Y",Base!B37-Option3b!I41,IF($E41="N",0))))</f>
        <v>209.45000000000027</v>
      </c>
      <c r="C41" s="387">
        <f>IF($E41="Y1",'WindMonitoring_BATS-BETS'!C40,IF($E41="Y2",'WindMonitoring_BATS-BETS'!C40+'Third_Line_MLTS-BATS'!C40,IF($E41="Y",Base!C37-Option3b!J41,IF($E41="N",0))))</f>
        <v>422.60999999999513</v>
      </c>
      <c r="D41" s="387">
        <f>IF($E41="Y1",'WindMonitoring_BATS-BETS'!D40,IF($E41="Y2",'WindMonitoring_BATS-BETS'!D40+'Third_Line_MLTS-BATS'!D40,IF($E41="Y",Base!D37-Option3b!K41,IF($E41="N",0))))</f>
        <v>337.82487999999648</v>
      </c>
      <c r="E41" s="221" t="str">
        <f t="shared" si="6"/>
        <v>Y2</v>
      </c>
      <c r="F41" s="52">
        <f t="shared" si="8"/>
        <v>20928.251315999783</v>
      </c>
      <c r="H41" s="72" t="s">
        <v>69</v>
      </c>
      <c r="I41" s="40">
        <v>919.63</v>
      </c>
      <c r="J41" s="40">
        <v>10611.719999999998</v>
      </c>
      <c r="K41" s="40">
        <v>8133.3475199999993</v>
      </c>
      <c r="L41" s="40">
        <f t="shared" si="7"/>
        <v>503860.87886399997</v>
      </c>
    </row>
    <row r="42" spans="1:14" s="230" customFormat="1" x14ac:dyDescent="0.3">
      <c r="A42" s="72" t="s">
        <v>70</v>
      </c>
      <c r="B42" s="387">
        <f>IF($E42="Y1",'WindMonitoring_BATS-BETS'!B41,IF($E42="Y2",'WindMonitoring_BATS-BETS'!B41+'Third_Line_MLTS-BATS'!B41,IF($E42="Y",Base!B38-Option3b!I42,IF($E42="N",0))))</f>
        <v>205.01999999999998</v>
      </c>
      <c r="C42" s="387">
        <f>IF($E42="Y1",'WindMonitoring_BATS-BETS'!C41,IF($E42="Y2",'WindMonitoring_BATS-BETS'!C41+'Third_Line_MLTS-BATS'!C41,IF($E42="Y",Base!C38-Option3b!J42,IF($E42="N",0))))</f>
        <v>1310.42</v>
      </c>
      <c r="D42" s="387">
        <f>IF($E42="Y1",'WindMonitoring_BATS-BETS'!D41,IF($E42="Y2",'WindMonitoring_BATS-BETS'!D41+'Third_Line_MLTS-BATS'!D41,IF($E42="Y",Base!D38-Option3b!K42,IF($E42="N",0))))</f>
        <v>865.19576000000052</v>
      </c>
      <c r="E42" s="221" t="str">
        <f t="shared" si="6"/>
        <v>Y</v>
      </c>
      <c r="F42" s="52">
        <f t="shared" si="8"/>
        <v>53598.877332000033</v>
      </c>
      <c r="H42" s="72" t="s">
        <v>70</v>
      </c>
      <c r="I42" s="40">
        <v>1011.3299999999999</v>
      </c>
      <c r="J42" s="40">
        <v>11798.81</v>
      </c>
      <c r="K42" s="40">
        <v>8605.25576</v>
      </c>
      <c r="L42" s="40">
        <f t="shared" si="7"/>
        <v>533095.59433200001</v>
      </c>
    </row>
    <row r="43" spans="1:14" s="230" customFormat="1" x14ac:dyDescent="0.3">
      <c r="A43" s="72" t="s">
        <v>71</v>
      </c>
      <c r="B43" s="387">
        <f>IF($E43="Y1",'WindMonitoring_BATS-BETS'!B42,IF($E43="Y2",'WindMonitoring_BATS-BETS'!B42+'Third_Line_MLTS-BATS'!B42,IF($E43="Y",Base!B39-Option3b!I43,IF($E43="N",0))))</f>
        <v>-33.6099999999999</v>
      </c>
      <c r="C43" s="387">
        <f>IF($E43="Y1",'WindMonitoring_BATS-BETS'!C42,IF($E43="Y2",'WindMonitoring_BATS-BETS'!C42+'Third_Line_MLTS-BATS'!C42,IF($E43="Y",Base!C39-Option3b!J43,IF($E43="N",0))))</f>
        <v>1444.0699999999979</v>
      </c>
      <c r="D43" s="387">
        <f>IF($E43="Y1",'WindMonitoring_BATS-BETS'!D42,IF($E43="Y2",'WindMonitoring_BATS-BETS'!D42+'Third_Line_MLTS-BATS'!D42,IF($E43="Y",Base!D39-Option3b!K43,IF($E43="N",0))))</f>
        <v>965.12455999999838</v>
      </c>
      <c r="E43" s="221" t="str">
        <f t="shared" si="6"/>
        <v>Y</v>
      </c>
      <c r="F43" s="52">
        <f t="shared" si="8"/>
        <v>59789.466491999905</v>
      </c>
      <c r="H43" s="72" t="s">
        <v>71</v>
      </c>
      <c r="I43" s="40">
        <v>1305.82</v>
      </c>
      <c r="J43" s="40">
        <v>13028.34</v>
      </c>
      <c r="K43" s="40">
        <v>9039.6962399999993</v>
      </c>
      <c r="L43" s="40">
        <f t="shared" si="7"/>
        <v>560009.18206799997</v>
      </c>
    </row>
    <row r="44" spans="1:14" s="230" customFormat="1" x14ac:dyDescent="0.3">
      <c r="A44" s="72" t="s">
        <v>72</v>
      </c>
      <c r="B44" s="387">
        <f>IF($E44="Y1",'WindMonitoring_BATS-BETS'!B43,IF($E44="Y2",'WindMonitoring_BATS-BETS'!B43+'Third_Line_MLTS-BATS'!B43,IF($E44="Y",Base!B40-Option3b!I44,IF($E44="N",0))))</f>
        <v>306.24</v>
      </c>
      <c r="C44" s="387">
        <f>IF($E44="Y1",'WindMonitoring_BATS-BETS'!C43,IF($E44="Y2",'WindMonitoring_BATS-BETS'!C43+'Third_Line_MLTS-BATS'!C43,IF($E44="Y",Base!C40-Option3b!J44,IF($E44="N",0))))</f>
        <v>1272.9999999999982</v>
      </c>
      <c r="D44" s="387">
        <f>IF($E44="Y1",'WindMonitoring_BATS-BETS'!D43,IF($E44="Y2",'WindMonitoring_BATS-BETS'!D43+'Third_Line_MLTS-BATS'!D43,IF($E44="Y",Base!D40-Option3b!K44,IF($E44="N",0))))</f>
        <v>787.9367199999997</v>
      </c>
      <c r="E44" s="221" t="str">
        <f t="shared" si="6"/>
        <v>Y</v>
      </c>
      <c r="F44" s="52">
        <f t="shared" si="8"/>
        <v>48812.679803999985</v>
      </c>
      <c r="H44" s="72" t="s">
        <v>72</v>
      </c>
      <c r="I44" s="40">
        <v>1002.69</v>
      </c>
      <c r="J44" s="40">
        <v>14328.27</v>
      </c>
      <c r="K44" s="40">
        <v>9477.4423200000001</v>
      </c>
      <c r="L44" s="40">
        <f t="shared" si="7"/>
        <v>587127.55172400002</v>
      </c>
    </row>
    <row r="45" spans="1:14" s="230" customFormat="1" x14ac:dyDescent="0.3">
      <c r="A45" s="72" t="s">
        <v>73</v>
      </c>
      <c r="B45" s="387">
        <f>IF($E45="Y1",'WindMonitoring_BATS-BETS'!B44,IF($E45="Y2",'WindMonitoring_BATS-BETS'!B44+'Third_Line_MLTS-BATS'!B44,IF($E45="Y",Base!B41-Option3b!I45,IF($E45="N",0))))</f>
        <v>141.87999999999988</v>
      </c>
      <c r="C45" s="387">
        <f>IF($E45="Y1",'WindMonitoring_BATS-BETS'!C44,IF($E45="Y2",'WindMonitoring_BATS-BETS'!C44+'Third_Line_MLTS-BATS'!C44,IF($E45="Y",Base!C41-Option3b!J45,IF($E45="N",0))))</f>
        <v>1127.5500000000029</v>
      </c>
      <c r="D45" s="387">
        <f>IF($E45="Y1",'WindMonitoring_BATS-BETS'!D44,IF($E45="Y2",'WindMonitoring_BATS-BETS'!D44+'Third_Line_MLTS-BATS'!D44,IF($E45="Y",Base!D41-Option3b!K45,IF($E45="N",0))))</f>
        <v>787.51920000000246</v>
      </c>
      <c r="E45" s="221" t="str">
        <f t="shared" si="6"/>
        <v>Y</v>
      </c>
      <c r="F45" s="52">
        <f t="shared" si="8"/>
        <v>48786.814440000155</v>
      </c>
      <c r="H45" s="72" t="s">
        <v>73</v>
      </c>
      <c r="I45" s="40">
        <v>1291.3999999999999</v>
      </c>
      <c r="J45" s="40">
        <v>16935.969999999998</v>
      </c>
      <c r="K45" s="40">
        <v>10509.391359999998</v>
      </c>
      <c r="L45" s="40">
        <f t="shared" si="7"/>
        <v>651056.7947519999</v>
      </c>
    </row>
    <row r="46" spans="1:14" s="230" customFormat="1" ht="15" thickBot="1" x14ac:dyDescent="0.35">
      <c r="E46" s="60">
        <f>SUM(COUNTIF(E36:E45,{"Y","Y1","Y2"}))</f>
        <v>8</v>
      </c>
      <c r="F46" s="62">
        <f>-PV($G$6,$G$7-E46,F45)</f>
        <v>464761.51831959706</v>
      </c>
      <c r="G46" s="55" t="s">
        <v>11</v>
      </c>
    </row>
    <row r="47" spans="1:14" s="230" customFormat="1" ht="15" thickTop="1" x14ac:dyDescent="0.3"/>
    <row r="48" spans="1:14" s="230" customFormat="1" ht="15.6" x14ac:dyDescent="0.3">
      <c r="A48" s="409" t="s">
        <v>56</v>
      </c>
      <c r="B48" s="410"/>
      <c r="C48" s="410"/>
      <c r="D48" s="410"/>
      <c r="E48" s="410"/>
      <c r="F48" s="411"/>
      <c r="H48" s="406" t="s">
        <v>60</v>
      </c>
      <c r="I48" s="406"/>
      <c r="J48" s="406"/>
      <c r="K48" s="406"/>
      <c r="L48" s="406"/>
    </row>
    <row r="49" spans="1:12" s="230" customFormat="1" ht="57.6" x14ac:dyDescent="0.3">
      <c r="A49" s="220" t="s">
        <v>5</v>
      </c>
      <c r="B49" s="51" t="s">
        <v>151</v>
      </c>
      <c r="C49" s="51" t="s">
        <v>152</v>
      </c>
      <c r="D49" s="51" t="s">
        <v>153</v>
      </c>
      <c r="E49" s="51" t="s">
        <v>12</v>
      </c>
      <c r="F49" s="51" t="s">
        <v>134</v>
      </c>
      <c r="H49" s="220" t="s">
        <v>5</v>
      </c>
      <c r="I49" s="51" t="s">
        <v>75</v>
      </c>
      <c r="J49" s="51" t="s">
        <v>51</v>
      </c>
      <c r="K49" s="50" t="s">
        <v>0</v>
      </c>
      <c r="L49" s="51" t="s">
        <v>58</v>
      </c>
    </row>
    <row r="50" spans="1:12" s="230" customFormat="1" x14ac:dyDescent="0.3">
      <c r="A50" s="72" t="s">
        <v>64</v>
      </c>
      <c r="B50" s="387">
        <f>IF($E50="Y1",'WindMonitoring_BATS-BETS'!B49,IF($E50="Y2",'WindMonitoring_BATS-BETS'!B49+'Third_Line_MLTS-BATS'!B49,IF($E50="Y",Base!B46-Option3b!I50,IF($E50="N",0))))</f>
        <v>0</v>
      </c>
      <c r="C50" s="387">
        <f>IF($E50="Y1",'WindMonitoring_BATS-BETS'!C49,IF($E50="Y2",'WindMonitoring_BATS-BETS'!C49+'Third_Line_MLTS-BATS'!C49,IF($E50="Y",Base!C46-Option3b!J50,IF($E50="N",0))))</f>
        <v>0</v>
      </c>
      <c r="D50" s="387">
        <f>IF($E50="Y1",'WindMonitoring_BATS-BETS'!D49,IF($E50="Y2",'WindMonitoring_BATS-BETS'!D49+'Third_Line_MLTS-BATS'!D49,IF($E50="Y",Base!D46-Option3b!K50,IF($E50="N",0))))</f>
        <v>0</v>
      </c>
      <c r="E50" s="221" t="str">
        <f>E36</f>
        <v>N</v>
      </c>
      <c r="F50" s="52">
        <f>IF(OR(E50="Y",E50="Y1",E50="Y2"),D50*$G$5,0)</f>
        <v>0</v>
      </c>
      <c r="H50" s="72" t="s">
        <v>64</v>
      </c>
      <c r="I50" s="40">
        <v>553.59</v>
      </c>
      <c r="J50" s="40">
        <v>8763.4800000000014</v>
      </c>
      <c r="K50" s="40">
        <v>7320.4771199999996</v>
      </c>
      <c r="L50" s="40">
        <f t="shared" ref="L50:L59" si="9">K50*$G$5</f>
        <v>453503.55758399999</v>
      </c>
    </row>
    <row r="51" spans="1:12" s="230" customFormat="1" x14ac:dyDescent="0.3">
      <c r="A51" s="72" t="s">
        <v>65</v>
      </c>
      <c r="B51" s="387">
        <f>IF($E51="Y1",'WindMonitoring_BATS-BETS'!B50,IF($E51="Y2",'WindMonitoring_BATS-BETS'!B50+'Third_Line_MLTS-BATS'!B50,IF($E51="Y",Base!B47-Option3b!I51,IF($E51="N",0))))</f>
        <v>0</v>
      </c>
      <c r="C51" s="387">
        <f>IF($E51="Y1",'WindMonitoring_BATS-BETS'!C50,IF($E51="Y2",'WindMonitoring_BATS-BETS'!C50+'Third_Line_MLTS-BATS'!C50,IF($E51="Y",Base!C47-Option3b!J51,IF($E51="N",0))))</f>
        <v>0</v>
      </c>
      <c r="D51" s="387">
        <f>IF($E51="Y1",'WindMonitoring_BATS-BETS'!D50,IF($E51="Y2",'WindMonitoring_BATS-BETS'!D50+'Third_Line_MLTS-BATS'!D50,IF($E51="Y",Base!D47-Option3b!K51,IF($E51="N",0))))</f>
        <v>0</v>
      </c>
      <c r="E51" s="221" t="str">
        <f t="shared" ref="E51:E59" si="10">E37</f>
        <v>N</v>
      </c>
      <c r="F51" s="52">
        <f t="shared" ref="F51:F59" si="11">IF(OR(E51="Y",E51="Y1",E51="Y2"),D51*$G$5,0)</f>
        <v>0</v>
      </c>
      <c r="H51" s="72" t="s">
        <v>65</v>
      </c>
      <c r="I51" s="40">
        <v>599.06000000000006</v>
      </c>
      <c r="J51" s="40">
        <v>8923.9499999999989</v>
      </c>
      <c r="K51" s="40">
        <v>7322.8576799999992</v>
      </c>
      <c r="L51" s="40">
        <f t="shared" si="9"/>
        <v>453651.03327599994</v>
      </c>
    </row>
    <row r="52" spans="1:12" s="230" customFormat="1" x14ac:dyDescent="0.3">
      <c r="A52" s="72" t="s">
        <v>66</v>
      </c>
      <c r="B52" s="387">
        <f>IF($E52="Y1",'WindMonitoring_BATS-BETS'!B51,IF($E52="Y2",'WindMonitoring_BATS-BETS'!B51+'Third_Line_MLTS-BATS'!B51,IF($E52="Y",Base!B48-Option3b!I52,IF($E52="N",0))))</f>
        <v>13.660000000000082</v>
      </c>
      <c r="C52" s="387">
        <f>IF($E52="Y1",'WindMonitoring_BATS-BETS'!C51,IF($E52="Y2",'WindMonitoring_BATS-BETS'!C51+'Third_Line_MLTS-BATS'!C51,IF($E52="Y",Base!C48-Option3b!J52,IF($E52="N",0))))</f>
        <v>78.680000000000291</v>
      </c>
      <c r="D52" s="387">
        <f>IF($E52="Y1",'WindMonitoring_BATS-BETS'!D51,IF($E52="Y2",'WindMonitoring_BATS-BETS'!D51+'Third_Line_MLTS-BATS'!D51,IF($E52="Y",Base!D48-Option3b!K52,IF($E52="N",0))))</f>
        <v>57.60512000000017</v>
      </c>
      <c r="E52" s="221" t="str">
        <f t="shared" si="10"/>
        <v>Y1</v>
      </c>
      <c r="F52" s="52">
        <f t="shared" si="11"/>
        <v>3568.6371840000106</v>
      </c>
      <c r="H52" s="72" t="s">
        <v>66</v>
      </c>
      <c r="I52" s="40">
        <v>671.37</v>
      </c>
      <c r="J52" s="40">
        <v>9330.36</v>
      </c>
      <c r="K52" s="40">
        <v>7568.1993599999996</v>
      </c>
      <c r="L52" s="40">
        <f t="shared" si="9"/>
        <v>468849.95035200001</v>
      </c>
    </row>
    <row r="53" spans="1:12" s="230" customFormat="1" x14ac:dyDescent="0.3">
      <c r="A53" s="72" t="s">
        <v>67</v>
      </c>
      <c r="B53" s="387">
        <f>IF($E53="Y1",'WindMonitoring_BATS-BETS'!B52,IF($E53="Y2",'WindMonitoring_BATS-BETS'!B52+'Third_Line_MLTS-BATS'!B52,IF($E53="Y",Base!B49-Option3b!I53,IF($E53="N",0))))</f>
        <v>40.240000000000009</v>
      </c>
      <c r="C53" s="387">
        <f>IF($E53="Y1",'WindMonitoring_BATS-BETS'!C52,IF($E53="Y2",'WindMonitoring_BATS-BETS'!C52+'Third_Line_MLTS-BATS'!C52,IF($E53="Y",Base!C49-Option3b!J53,IF($E53="N",0))))</f>
        <v>227.07000000000153</v>
      </c>
      <c r="D53" s="387">
        <f>IF($E53="Y1",'WindMonitoring_BATS-BETS'!D52,IF($E53="Y2",'WindMonitoring_BATS-BETS'!D52+'Third_Line_MLTS-BATS'!D52,IF($E53="Y",Base!D49-Option3b!K53,IF($E53="N",0))))</f>
        <v>143.70312000000013</v>
      </c>
      <c r="E53" s="221" t="str">
        <f t="shared" si="10"/>
        <v>Y1</v>
      </c>
      <c r="F53" s="52">
        <f t="shared" si="11"/>
        <v>8902.4082840000083</v>
      </c>
      <c r="H53" s="72" t="s">
        <v>67</v>
      </c>
      <c r="I53" s="40">
        <v>742.68000000000006</v>
      </c>
      <c r="J53" s="40">
        <v>9636.18</v>
      </c>
      <c r="K53" s="40">
        <v>7758.3511199999994</v>
      </c>
      <c r="L53" s="40">
        <f t="shared" si="9"/>
        <v>480629.851884</v>
      </c>
    </row>
    <row r="54" spans="1:12" s="230" customFormat="1" x14ac:dyDescent="0.3">
      <c r="A54" s="72" t="s">
        <v>68</v>
      </c>
      <c r="B54" s="387">
        <f>IF($E54="Y1",'WindMonitoring_BATS-BETS'!B53,IF($E54="Y2",'WindMonitoring_BATS-BETS'!B53+'Third_Line_MLTS-BATS'!B53,IF($E54="Y",Base!B50-Option3b!I54,IF($E54="N",0))))</f>
        <v>21.150000000000546</v>
      </c>
      <c r="C54" s="387">
        <f>IF($E54="Y1",'WindMonitoring_BATS-BETS'!C53,IF($E54="Y2",'WindMonitoring_BATS-BETS'!C53+'Third_Line_MLTS-BATS'!C53,IF($E54="Y",Base!C50-Option3b!J54,IF($E54="N",0))))</f>
        <v>1312.8199999999961</v>
      </c>
      <c r="D54" s="387">
        <f>IF($E54="Y1",'WindMonitoring_BATS-BETS'!D53,IF($E54="Y2",'WindMonitoring_BATS-BETS'!D53+'Third_Line_MLTS-BATS'!D53,IF($E54="Y",Base!D50-Option3b!K54,IF($E54="N",0))))</f>
        <v>665.31031999999868</v>
      </c>
      <c r="E54" s="221" t="str">
        <f t="shared" si="10"/>
        <v>Y2</v>
      </c>
      <c r="F54" s="52">
        <f t="shared" si="11"/>
        <v>41215.974323999922</v>
      </c>
      <c r="H54" s="72" t="s">
        <v>68</v>
      </c>
      <c r="I54" s="40">
        <v>1050.32</v>
      </c>
      <c r="J54" s="40">
        <v>10328.709999999997</v>
      </c>
      <c r="K54" s="40">
        <v>8076.1059999999979</v>
      </c>
      <c r="L54" s="40">
        <f t="shared" si="9"/>
        <v>500314.76669999992</v>
      </c>
    </row>
    <row r="55" spans="1:12" s="230" customFormat="1" x14ac:dyDescent="0.3">
      <c r="A55" s="72" t="s">
        <v>69</v>
      </c>
      <c r="B55" s="387">
        <f>IF($E55="Y1",'WindMonitoring_BATS-BETS'!B54,IF($E55="Y2",'WindMonitoring_BATS-BETS'!B54+'Third_Line_MLTS-BATS'!B54,IF($E55="Y",Base!B51-Option3b!I55,IF($E55="N",0))))</f>
        <v>254.62000000000012</v>
      </c>
      <c r="C55" s="387">
        <f>IF($E55="Y1",'WindMonitoring_BATS-BETS'!C54,IF($E55="Y2",'WindMonitoring_BATS-BETS'!C54+'Third_Line_MLTS-BATS'!C54,IF($E55="Y",Base!C51-Option3b!J55,IF($E55="N",0))))</f>
        <v>1512.2399999999998</v>
      </c>
      <c r="D55" s="387">
        <f>IF($E55="Y1",'WindMonitoring_BATS-BETS'!D54,IF($E55="Y2",'WindMonitoring_BATS-BETS'!D54+'Third_Line_MLTS-BATS'!D54,IF($E55="Y",Base!D51-Option3b!K55,IF($E55="N",0))))</f>
        <v>798.08831999999893</v>
      </c>
      <c r="E55" s="221" t="str">
        <f t="shared" si="10"/>
        <v>Y2</v>
      </c>
      <c r="F55" s="52">
        <f t="shared" si="11"/>
        <v>49441.571423999936</v>
      </c>
      <c r="H55" s="72" t="s">
        <v>69</v>
      </c>
      <c r="I55" s="40">
        <v>1082.5400000000002</v>
      </c>
      <c r="J55" s="40">
        <v>10863.829999999998</v>
      </c>
      <c r="K55" s="40">
        <v>8414.6616799999993</v>
      </c>
      <c r="L55" s="40">
        <f t="shared" si="9"/>
        <v>521288.29107599996</v>
      </c>
    </row>
    <row r="56" spans="1:12" s="230" customFormat="1" x14ac:dyDescent="0.3">
      <c r="A56" s="72" t="s">
        <v>70</v>
      </c>
      <c r="B56" s="387">
        <f>IF($E56="Y1",'WindMonitoring_BATS-BETS'!B55,IF($E56="Y2",'WindMonitoring_BATS-BETS'!B55+'Third_Line_MLTS-BATS'!B55,IF($E56="Y",Base!B52-Option3b!I56,IF($E56="N",0))))</f>
        <v>112.01000000000022</v>
      </c>
      <c r="C56" s="387">
        <f>IF($E56="Y1",'WindMonitoring_BATS-BETS'!C55,IF($E56="Y2",'WindMonitoring_BATS-BETS'!C55+'Third_Line_MLTS-BATS'!C55,IF($E56="Y",Base!C52-Option3b!J56,IF($E56="N",0))))</f>
        <v>2402.1599999999962</v>
      </c>
      <c r="D56" s="387">
        <f>IF($E56="Y1",'WindMonitoring_BATS-BETS'!D55,IF($E56="Y2",'WindMonitoring_BATS-BETS'!D55+'Third_Line_MLTS-BATS'!D55,IF($E56="Y",Base!D52-Option3b!K56,IF($E56="N",0))))</f>
        <v>1515.3724799999982</v>
      </c>
      <c r="E56" s="221" t="str">
        <f t="shared" si="10"/>
        <v>Y</v>
      </c>
      <c r="F56" s="52">
        <f t="shared" si="11"/>
        <v>93877.325135999898</v>
      </c>
      <c r="H56" s="72" t="s">
        <v>70</v>
      </c>
      <c r="I56" s="40">
        <v>1291.7499999999998</v>
      </c>
      <c r="J56" s="40">
        <v>12275.81</v>
      </c>
      <c r="K56" s="40">
        <v>8879.2047199999997</v>
      </c>
      <c r="L56" s="40">
        <f t="shared" si="9"/>
        <v>550066.73240400001</v>
      </c>
    </row>
    <row r="57" spans="1:12" s="230" customFormat="1" x14ac:dyDescent="0.3">
      <c r="A57" s="72" t="s">
        <v>71</v>
      </c>
      <c r="B57" s="387">
        <f>IF($E57="Y1",'WindMonitoring_BATS-BETS'!B56,IF($E57="Y2",'WindMonitoring_BATS-BETS'!B56+'Third_Line_MLTS-BATS'!B56,IF($E57="Y",Base!B53-Option3b!I57,IF($E57="N",0))))</f>
        <v>-0.74000000000000909</v>
      </c>
      <c r="C57" s="387">
        <f>IF($E57="Y1",'WindMonitoring_BATS-BETS'!C56,IF($E57="Y2",'WindMonitoring_BATS-BETS'!C56+'Third_Line_MLTS-BATS'!C56,IF($E57="Y",Base!C53-Option3b!J57,IF($E57="N",0))))</f>
        <v>2927.3299999999945</v>
      </c>
      <c r="D57" s="387">
        <f>IF($E57="Y1",'WindMonitoring_BATS-BETS'!D56,IF($E57="Y2",'WindMonitoring_BATS-BETS'!D56+'Third_Line_MLTS-BATS'!D56,IF($E57="Y",Base!D53-Option3b!K57,IF($E57="N",0))))</f>
        <v>1748.0206399999988</v>
      </c>
      <c r="E57" s="221" t="str">
        <f t="shared" si="10"/>
        <v>Y</v>
      </c>
      <c r="F57" s="52">
        <f t="shared" si="11"/>
        <v>108289.87864799993</v>
      </c>
      <c r="H57" s="72" t="s">
        <v>71</v>
      </c>
      <c r="I57" s="40">
        <v>1442.25</v>
      </c>
      <c r="J57" s="40">
        <v>13590.050000000003</v>
      </c>
      <c r="K57" s="40">
        <v>9368.0374400000001</v>
      </c>
      <c r="L57" s="40">
        <f t="shared" si="9"/>
        <v>580349.91940800007</v>
      </c>
    </row>
    <row r="58" spans="1:12" s="230" customFormat="1" x14ac:dyDescent="0.3">
      <c r="A58" s="72" t="s">
        <v>72</v>
      </c>
      <c r="B58" s="387">
        <f>IF($E58="Y1",'WindMonitoring_BATS-BETS'!B57,IF($E58="Y2",'WindMonitoring_BATS-BETS'!B57+'Third_Line_MLTS-BATS'!B57,IF($E58="Y",Base!B54-Option3b!I58,IF($E58="N",0))))</f>
        <v>-95.809999999999945</v>
      </c>
      <c r="C58" s="387">
        <f>IF($E58="Y1",'WindMonitoring_BATS-BETS'!C57,IF($E58="Y2",'WindMonitoring_BATS-BETS'!C57+'Third_Line_MLTS-BATS'!C57,IF($E58="Y",Base!C54-Option3b!J58,IF($E58="N",0))))</f>
        <v>3242.850000000004</v>
      </c>
      <c r="D58" s="387">
        <f>IF($E58="Y1",'WindMonitoring_BATS-BETS'!D57,IF($E58="Y2",'WindMonitoring_BATS-BETS'!D57+'Third_Line_MLTS-BATS'!D57,IF($E58="Y",Base!D54-Option3b!K58,IF($E58="N",0))))</f>
        <v>1838.739599999999</v>
      </c>
      <c r="E58" s="221" t="str">
        <f t="shared" si="10"/>
        <v>Y</v>
      </c>
      <c r="F58" s="52">
        <f t="shared" si="11"/>
        <v>113909.91821999995</v>
      </c>
      <c r="H58" s="72" t="s">
        <v>72</v>
      </c>
      <c r="I58" s="40">
        <v>1761.71</v>
      </c>
      <c r="J58" s="40">
        <v>15922.38</v>
      </c>
      <c r="K58" s="40">
        <v>10475.46312</v>
      </c>
      <c r="L58" s="40">
        <f t="shared" si="9"/>
        <v>648954.94028400001</v>
      </c>
    </row>
    <row r="59" spans="1:12" s="230" customFormat="1" x14ac:dyDescent="0.3">
      <c r="A59" s="72" t="s">
        <v>73</v>
      </c>
      <c r="B59" s="387">
        <f>IF($E59="Y1",'WindMonitoring_BATS-BETS'!B58,IF($E59="Y2",'WindMonitoring_BATS-BETS'!B58+'Third_Line_MLTS-BATS'!B58,IF($E59="Y",Base!B55-Option3b!I59,IF($E59="N",0))))</f>
        <v>52.450000000000045</v>
      </c>
      <c r="C59" s="387">
        <f>IF($E59="Y1",'WindMonitoring_BATS-BETS'!C58,IF($E59="Y2",'WindMonitoring_BATS-BETS'!C58+'Third_Line_MLTS-BATS'!C58,IF($E59="Y",Base!C55-Option3b!J59,IF($E59="N",0))))</f>
        <v>4411.1399999999994</v>
      </c>
      <c r="D59" s="387">
        <f>IF($E59="Y1",'WindMonitoring_BATS-BETS'!D58,IF($E59="Y2",'WindMonitoring_BATS-BETS'!D58+'Third_Line_MLTS-BATS'!D58,IF($E59="Y",Base!D55-Option3b!K59,IF($E59="N",0))))</f>
        <v>2406.5138399999996</v>
      </c>
      <c r="E59" s="221" t="str">
        <f t="shared" si="10"/>
        <v>Y</v>
      </c>
      <c r="F59" s="52">
        <f t="shared" si="11"/>
        <v>149083.53238799999</v>
      </c>
      <c r="H59" s="72" t="s">
        <v>73</v>
      </c>
      <c r="I59" s="40">
        <v>1897.3799999999999</v>
      </c>
      <c r="J59" s="40">
        <v>18745.900000000001</v>
      </c>
      <c r="K59" s="40">
        <v>11585.813920000001</v>
      </c>
      <c r="L59" s="40">
        <f t="shared" si="9"/>
        <v>717741.17234400008</v>
      </c>
    </row>
    <row r="60" spans="1:12" s="230" customFormat="1" ht="15" thickBot="1" x14ac:dyDescent="0.35">
      <c r="E60" s="60">
        <f>SUM(COUNTIF(E50:E59,{"Y","Y1","Y2"}))</f>
        <v>8</v>
      </c>
      <c r="F60" s="62">
        <f>-PV($G$6,$G$7-E60,F59)</f>
        <v>1420225.7241925281</v>
      </c>
      <c r="G60" s="55" t="s">
        <v>11</v>
      </c>
    </row>
    <row r="61" spans="1:12" s="230" customFormat="1" ht="15" thickTop="1" x14ac:dyDescent="0.3"/>
    <row r="62" spans="1:12" s="230" customFormat="1" ht="15.6" x14ac:dyDescent="0.3">
      <c r="A62" s="409" t="s">
        <v>55</v>
      </c>
      <c r="B62" s="410"/>
      <c r="C62" s="410"/>
      <c r="D62" s="410"/>
      <c r="E62" s="410"/>
      <c r="F62" s="411"/>
      <c r="H62" s="406" t="s">
        <v>61</v>
      </c>
      <c r="I62" s="406"/>
      <c r="J62" s="406"/>
      <c r="K62" s="406"/>
      <c r="L62" s="406"/>
    </row>
    <row r="63" spans="1:12" s="230" customFormat="1" ht="57.6" x14ac:dyDescent="0.3">
      <c r="A63" s="220" t="s">
        <v>5</v>
      </c>
      <c r="B63" s="51" t="s">
        <v>151</v>
      </c>
      <c r="C63" s="51" t="s">
        <v>152</v>
      </c>
      <c r="D63" s="51" t="s">
        <v>153</v>
      </c>
      <c r="E63" s="51" t="s">
        <v>12</v>
      </c>
      <c r="F63" s="51" t="s">
        <v>134</v>
      </c>
      <c r="H63" s="220" t="s">
        <v>5</v>
      </c>
      <c r="I63" s="51" t="s">
        <v>75</v>
      </c>
      <c r="J63" s="51" t="s">
        <v>51</v>
      </c>
      <c r="K63" s="50" t="s">
        <v>0</v>
      </c>
      <c r="L63" s="51" t="s">
        <v>58</v>
      </c>
    </row>
    <row r="64" spans="1:12" s="230" customFormat="1" x14ac:dyDescent="0.3">
      <c r="A64" s="72" t="s">
        <v>64</v>
      </c>
      <c r="B64" s="387">
        <f>IF($E64="Y1",'WindMonitoring_BATS-BETS'!B63,IF($E64="Y2",'WindMonitoring_BATS-BETS'!B63+'Third_Line_MLTS-BATS'!B63,IF($E64="Y",Base!B60-Option3b!I64,IF($E64="N",0))))</f>
        <v>0</v>
      </c>
      <c r="C64" s="387">
        <f>IF($E64="Y1",'WindMonitoring_BATS-BETS'!C63,IF($E64="Y2",'WindMonitoring_BATS-BETS'!C63+'Third_Line_MLTS-BATS'!C63,IF($E64="Y",Base!C60-Option3b!J64,IF($E64="N",0))))</f>
        <v>0</v>
      </c>
      <c r="D64" s="387">
        <f>IF($E64="Y1",'WindMonitoring_BATS-BETS'!D63,IF($E64="Y2",'WindMonitoring_BATS-BETS'!D63+'Third_Line_MLTS-BATS'!D63,IF($E64="Y",Base!D60-Option3b!K64,IF($E64="N",0))))</f>
        <v>0</v>
      </c>
      <c r="E64" s="221" t="str">
        <f>E36</f>
        <v>N</v>
      </c>
      <c r="F64" s="52">
        <f>IF(OR(E64="Y",E64="Y1",E64="Y2"),D64*$G$5,0)</f>
        <v>0</v>
      </c>
      <c r="H64" s="72" t="s">
        <v>64</v>
      </c>
      <c r="I64" s="40">
        <v>523.2299999999999</v>
      </c>
      <c r="J64" s="40">
        <v>8617.9499999999989</v>
      </c>
      <c r="K64" s="40">
        <v>7210.8119999999999</v>
      </c>
      <c r="L64" s="40">
        <f t="shared" ref="L64:L73" si="12">K64*$G$5</f>
        <v>446709.80340000003</v>
      </c>
    </row>
    <row r="65" spans="1:15" s="230" customFormat="1" x14ac:dyDescent="0.3">
      <c r="A65" s="72" t="s">
        <v>65</v>
      </c>
      <c r="B65" s="387">
        <f>IF($E65="Y1",'WindMonitoring_BATS-BETS'!B64,IF($E65="Y2",'WindMonitoring_BATS-BETS'!B64+'Third_Line_MLTS-BATS'!B64,IF($E65="Y",Base!B61-Option3b!I65,IF($E65="N",0))))</f>
        <v>0</v>
      </c>
      <c r="C65" s="387">
        <f>IF($E65="Y1",'WindMonitoring_BATS-BETS'!C64,IF($E65="Y2",'WindMonitoring_BATS-BETS'!C64+'Third_Line_MLTS-BATS'!C64,IF($E65="Y",Base!C61-Option3b!J65,IF($E65="N",0))))</f>
        <v>0</v>
      </c>
      <c r="D65" s="387">
        <f>IF($E65="Y1",'WindMonitoring_BATS-BETS'!D64,IF($E65="Y2",'WindMonitoring_BATS-BETS'!D64+'Third_Line_MLTS-BATS'!D64,IF($E65="Y",Base!D61-Option3b!K65,IF($E65="N",0))))</f>
        <v>0</v>
      </c>
      <c r="E65" s="221" t="str">
        <f t="shared" ref="E65:E73" si="13">E37</f>
        <v>N</v>
      </c>
      <c r="F65" s="52">
        <f t="shared" ref="F65:F73" si="14">IF(OR(E65="Y",E65="Y1",E65="Y2"),D65*$G$5,0)</f>
        <v>0</v>
      </c>
      <c r="H65" s="72" t="s">
        <v>65</v>
      </c>
      <c r="I65" s="40">
        <v>546.63999999999987</v>
      </c>
      <c r="J65" s="40">
        <v>8755.1299999999992</v>
      </c>
      <c r="K65" s="40">
        <v>7262.864239999999</v>
      </c>
      <c r="L65" s="40">
        <f t="shared" si="12"/>
        <v>449934.43966799998</v>
      </c>
    </row>
    <row r="66" spans="1:15" s="230" customFormat="1" x14ac:dyDescent="0.3">
      <c r="A66" s="72" t="s">
        <v>66</v>
      </c>
      <c r="B66" s="387">
        <f>IF($E66="Y1",'WindMonitoring_BATS-BETS'!B65,IF($E66="Y2",'WindMonitoring_BATS-BETS'!B65+'Third_Line_MLTS-BATS'!B65,IF($E66="Y",Base!B62-Option3b!I66,IF($E66="N",0))))</f>
        <v>43.5</v>
      </c>
      <c r="C66" s="387">
        <f>IF($E66="Y1",'WindMonitoring_BATS-BETS'!C65,IF($E66="Y2",'WindMonitoring_BATS-BETS'!C65+'Third_Line_MLTS-BATS'!C65,IF($E66="Y",Base!C62-Option3b!J66,IF($E66="N",0))))</f>
        <v>143.60000000000036</v>
      </c>
      <c r="D66" s="387">
        <f>IF($E66="Y1",'WindMonitoring_BATS-BETS'!D65,IF($E66="Y2",'WindMonitoring_BATS-BETS'!D65+'Third_Line_MLTS-BATS'!D65,IF($E66="Y",Base!D62-Option3b!K66,IF($E66="N",0))))</f>
        <v>96.529520000000048</v>
      </c>
      <c r="E66" s="221" t="str">
        <f t="shared" si="13"/>
        <v>Y1</v>
      </c>
      <c r="F66" s="52">
        <f t="shared" si="14"/>
        <v>5980.0037640000037</v>
      </c>
      <c r="H66" s="72" t="s">
        <v>66</v>
      </c>
      <c r="I66" s="40">
        <v>566.91</v>
      </c>
      <c r="J66" s="40">
        <v>8864.5600000000013</v>
      </c>
      <c r="K66" s="40">
        <v>7329.6572800000004</v>
      </c>
      <c r="L66" s="40">
        <f t="shared" si="12"/>
        <v>454072.26849600003</v>
      </c>
    </row>
    <row r="67" spans="1:15" s="230" customFormat="1" x14ac:dyDescent="0.3">
      <c r="A67" s="72" t="s">
        <v>67</v>
      </c>
      <c r="B67" s="387">
        <f>IF($E67="Y1",'WindMonitoring_BATS-BETS'!B66,IF($E67="Y2",'WindMonitoring_BATS-BETS'!B66+'Third_Line_MLTS-BATS'!B66,IF($E67="Y",Base!B63-Option3b!I67,IF($E67="N",0))))</f>
        <v>40.400000000000091</v>
      </c>
      <c r="C67" s="387">
        <f>IF($E67="Y1",'WindMonitoring_BATS-BETS'!C66,IF($E67="Y2",'WindMonitoring_BATS-BETS'!C66+'Third_Line_MLTS-BATS'!C66,IF($E67="Y",Base!C63-Option3b!J67,IF($E67="N",0))))</f>
        <v>144.59000000000196</v>
      </c>
      <c r="D67" s="387">
        <f>IF($E67="Y1",'WindMonitoring_BATS-BETS'!D66,IF($E67="Y2",'WindMonitoring_BATS-BETS'!D66+'Third_Line_MLTS-BATS'!D66,IF($E67="Y",Base!D63-Option3b!K67,IF($E67="N",0))))</f>
        <v>134.59544000000005</v>
      </c>
      <c r="E67" s="221" t="str">
        <f t="shared" si="13"/>
        <v>Y1</v>
      </c>
      <c r="F67" s="52">
        <f t="shared" si="14"/>
        <v>8338.1875080000045</v>
      </c>
      <c r="H67" s="72" t="s">
        <v>67</v>
      </c>
      <c r="I67" s="40">
        <v>573.49</v>
      </c>
      <c r="J67" s="40">
        <v>8918.24</v>
      </c>
      <c r="K67" s="40">
        <v>7343.1711199999991</v>
      </c>
      <c r="L67" s="40">
        <f t="shared" si="12"/>
        <v>454909.45088399999</v>
      </c>
    </row>
    <row r="68" spans="1:15" s="230" customFormat="1" x14ac:dyDescent="0.3">
      <c r="A68" s="72" t="s">
        <v>68</v>
      </c>
      <c r="B68" s="387">
        <f>IF($E68="Y1",'WindMonitoring_BATS-BETS'!B67,IF($E68="Y2",'WindMonitoring_BATS-BETS'!B67+'Third_Line_MLTS-BATS'!B67,IF($E68="Y",Base!B64-Option3b!I68,IF($E68="N",0))))</f>
        <v>318.52000000000044</v>
      </c>
      <c r="C68" s="387">
        <f>IF($E68="Y1",'WindMonitoring_BATS-BETS'!C67,IF($E68="Y2",'WindMonitoring_BATS-BETS'!C67+'Third_Line_MLTS-BATS'!C67,IF($E68="Y",Base!C64-Option3b!J68,IF($E68="N",0))))</f>
        <v>1166.3100000000031</v>
      </c>
      <c r="D68" s="387">
        <f>IF($E68="Y1",'WindMonitoring_BATS-BETS'!D67,IF($E68="Y2",'WindMonitoring_BATS-BETS'!D67+'Third_Line_MLTS-BATS'!D67,IF($E68="Y",Base!D64-Option3b!K68,IF($E68="N",0))))</f>
        <v>867.28751999999804</v>
      </c>
      <c r="E68" s="221" t="str">
        <f t="shared" si="13"/>
        <v>Y2</v>
      </c>
      <c r="F68" s="52">
        <f t="shared" si="14"/>
        <v>53728.461863999881</v>
      </c>
      <c r="H68" s="72" t="s">
        <v>68</v>
      </c>
      <c r="I68" s="40">
        <v>649.99999999999989</v>
      </c>
      <c r="J68" s="40">
        <v>9142.6799999999985</v>
      </c>
      <c r="K68" s="40">
        <v>7446.862079999999</v>
      </c>
      <c r="L68" s="40">
        <f t="shared" si="12"/>
        <v>461333.10585599998</v>
      </c>
    </row>
    <row r="69" spans="1:15" s="230" customFormat="1" x14ac:dyDescent="0.3">
      <c r="A69" s="72" t="s">
        <v>69</v>
      </c>
      <c r="B69" s="387">
        <f>IF($E69="Y1",'WindMonitoring_BATS-BETS'!B68,IF($E69="Y2",'WindMonitoring_BATS-BETS'!B68+'Third_Line_MLTS-BATS'!B68,IF($E69="Y",Base!B65-Option3b!I69,IF($E69="N",0))))</f>
        <v>306.2399999999999</v>
      </c>
      <c r="C69" s="387">
        <f>IF($E69="Y1",'WindMonitoring_BATS-BETS'!C68,IF($E69="Y2",'WindMonitoring_BATS-BETS'!C68+'Third_Line_MLTS-BATS'!C68,IF($E69="Y",Base!C65-Option3b!J69,IF($E69="N",0))))</f>
        <v>1261.6100000000006</v>
      </c>
      <c r="D69" s="387">
        <f>IF($E69="Y1",'WindMonitoring_BATS-BETS'!D68,IF($E69="Y2",'WindMonitoring_BATS-BETS'!D68+'Third_Line_MLTS-BATS'!D68,IF($E69="Y",Base!D65-Option3b!K69,IF($E69="N",0))))</f>
        <v>988.54831999999715</v>
      </c>
      <c r="E69" s="221" t="str">
        <f t="shared" si="13"/>
        <v>Y2</v>
      </c>
      <c r="F69" s="52">
        <f t="shared" si="14"/>
        <v>61240.568423999823</v>
      </c>
      <c r="H69" s="72" t="s">
        <v>69</v>
      </c>
      <c r="I69" s="40">
        <v>728.70000000000016</v>
      </c>
      <c r="J69" s="40">
        <v>9501.39</v>
      </c>
      <c r="K69" s="40">
        <v>7665.5856000000003</v>
      </c>
      <c r="L69" s="40">
        <f t="shared" si="12"/>
        <v>474883.02792000002</v>
      </c>
    </row>
    <row r="70" spans="1:15" s="230" customFormat="1" x14ac:dyDescent="0.3">
      <c r="A70" s="72" t="s">
        <v>70</v>
      </c>
      <c r="B70" s="387">
        <f>IF($E70="Y1",'WindMonitoring_BATS-BETS'!B69,IF($E70="Y2",'WindMonitoring_BATS-BETS'!B69+'Third_Line_MLTS-BATS'!B69,IF($E70="Y",Base!B66-Option3b!I70,IF($E70="N",0))))</f>
        <v>302.52000000000021</v>
      </c>
      <c r="C70" s="387">
        <f>IF($E70="Y1",'WindMonitoring_BATS-BETS'!C69,IF($E70="Y2",'WindMonitoring_BATS-BETS'!C69+'Third_Line_MLTS-BATS'!C69,IF($E70="Y",Base!C66-Option3b!J70,IF($E70="N",0))))</f>
        <v>1165.4300000000003</v>
      </c>
      <c r="D70" s="387">
        <f>IF($E70="Y1",'WindMonitoring_BATS-BETS'!D69,IF($E70="Y2",'WindMonitoring_BATS-BETS'!D69+'Third_Line_MLTS-BATS'!D69,IF($E70="Y",Base!D66-Option3b!K70,IF($E70="N",0))))</f>
        <v>705.1930399999992</v>
      </c>
      <c r="E70" s="221" t="str">
        <f t="shared" si="13"/>
        <v>Y</v>
      </c>
      <c r="F70" s="52">
        <f t="shared" si="14"/>
        <v>43686.708827999952</v>
      </c>
      <c r="H70" s="72" t="s">
        <v>70</v>
      </c>
      <c r="I70" s="40">
        <v>765.04</v>
      </c>
      <c r="J70" s="40">
        <v>9879.31</v>
      </c>
      <c r="K70" s="40">
        <v>7825.7411199999997</v>
      </c>
      <c r="L70" s="40">
        <f t="shared" si="12"/>
        <v>484804.66238400002</v>
      </c>
    </row>
    <row r="71" spans="1:15" s="230" customFormat="1" x14ac:dyDescent="0.3">
      <c r="A71" s="72" t="s">
        <v>71</v>
      </c>
      <c r="B71" s="387">
        <f>IF($E71="Y1",'WindMonitoring_BATS-BETS'!B70,IF($E71="Y2",'WindMonitoring_BATS-BETS'!B70+'Third_Line_MLTS-BATS'!B70,IF($E71="Y",Base!B67-Option3b!I71,IF($E71="N",0))))</f>
        <v>253.81999999999994</v>
      </c>
      <c r="C71" s="387">
        <f>IF($E71="Y1",'WindMonitoring_BATS-BETS'!C70,IF($E71="Y2",'WindMonitoring_BATS-BETS'!C70+'Third_Line_MLTS-BATS'!C70,IF($E71="Y",Base!C67-Option3b!J71,IF($E71="N",0))))</f>
        <v>1175.9700000000012</v>
      </c>
      <c r="D71" s="387">
        <f>IF($E71="Y1",'WindMonitoring_BATS-BETS'!D70,IF($E71="Y2",'WindMonitoring_BATS-BETS'!D70+'Third_Line_MLTS-BATS'!D70,IF($E71="Y",Base!D67-Option3b!K71,IF($E71="N",0))))</f>
        <v>720.15959999999905</v>
      </c>
      <c r="E71" s="221" t="str">
        <f t="shared" si="13"/>
        <v>Y</v>
      </c>
      <c r="F71" s="52">
        <f t="shared" si="14"/>
        <v>44613.887219999946</v>
      </c>
      <c r="H71" s="72" t="s">
        <v>71</v>
      </c>
      <c r="I71" s="40">
        <v>845.3</v>
      </c>
      <c r="J71" s="40">
        <v>10358.64</v>
      </c>
      <c r="K71" s="40">
        <v>8043.9876000000004</v>
      </c>
      <c r="L71" s="40">
        <f t="shared" si="12"/>
        <v>498325.03182000003</v>
      </c>
    </row>
    <row r="72" spans="1:15" s="230" customFormat="1" x14ac:dyDescent="0.3">
      <c r="A72" s="72" t="s">
        <v>72</v>
      </c>
      <c r="B72" s="387">
        <f>IF($E72="Y1",'WindMonitoring_BATS-BETS'!B71,IF($E72="Y2",'WindMonitoring_BATS-BETS'!B71+'Third_Line_MLTS-BATS'!B71,IF($E72="Y",Base!B68-Option3b!I72,IF($E72="N",0))))</f>
        <v>306.04000000000008</v>
      </c>
      <c r="C72" s="387">
        <f>IF($E72="Y1",'WindMonitoring_BATS-BETS'!C71,IF($E72="Y2",'WindMonitoring_BATS-BETS'!C71+'Third_Line_MLTS-BATS'!C71,IF($E72="Y",Base!C68-Option3b!J72,IF($E72="N",0))))</f>
        <v>977.56999999999789</v>
      </c>
      <c r="D72" s="387">
        <f>IF($E72="Y1",'WindMonitoring_BATS-BETS'!D71,IF($E72="Y2",'WindMonitoring_BATS-BETS'!D71+'Third_Line_MLTS-BATS'!D71,IF($E72="Y",Base!D68-Option3b!K72,IF($E72="N",0))))</f>
        <v>599.29399999999805</v>
      </c>
      <c r="E72" s="221" t="str">
        <f t="shared" si="13"/>
        <v>Y</v>
      </c>
      <c r="F72" s="52">
        <f t="shared" si="14"/>
        <v>37126.263299999882</v>
      </c>
      <c r="H72" s="72" t="s">
        <v>72</v>
      </c>
      <c r="I72" s="40">
        <v>737.04000000000008</v>
      </c>
      <c r="J72" s="40">
        <v>10513.27</v>
      </c>
      <c r="K72" s="40">
        <v>7967.6569600000003</v>
      </c>
      <c r="L72" s="40">
        <f t="shared" si="12"/>
        <v>493596.34867200005</v>
      </c>
    </row>
    <row r="73" spans="1:15" s="230" customFormat="1" x14ac:dyDescent="0.3">
      <c r="A73" s="72" t="s">
        <v>73</v>
      </c>
      <c r="B73" s="387">
        <f>IF($E73="Y1",'WindMonitoring_BATS-BETS'!B72,IF($E73="Y2",'WindMonitoring_BATS-BETS'!B72+'Third_Line_MLTS-BATS'!B72,IF($E73="Y",Base!B69-Option3b!I73,IF($E73="N",0))))</f>
        <v>321.0200000000001</v>
      </c>
      <c r="C73" s="387">
        <f>IF($E73="Y1",'WindMonitoring_BATS-BETS'!C72,IF($E73="Y2",'WindMonitoring_BATS-BETS'!C72+'Third_Line_MLTS-BATS'!C72,IF($E73="Y",Base!C69-Option3b!J73,IF($E73="N",0))))</f>
        <v>1175.5500000000011</v>
      </c>
      <c r="D73" s="387">
        <f>IF($E73="Y1",'WindMonitoring_BATS-BETS'!D72,IF($E73="Y2",'WindMonitoring_BATS-BETS'!D72+'Third_Line_MLTS-BATS'!D72,IF($E73="Y",Base!D69-Option3b!K73,IF($E73="N",0))))</f>
        <v>705.7430400000012</v>
      </c>
      <c r="E73" s="221" t="str">
        <f t="shared" si="13"/>
        <v>Y</v>
      </c>
      <c r="F73" s="52">
        <f t="shared" si="14"/>
        <v>43720.781328000077</v>
      </c>
      <c r="H73" s="72" t="s">
        <v>73</v>
      </c>
      <c r="I73" s="40">
        <v>763.1</v>
      </c>
      <c r="J73" s="40">
        <v>11326.979999999998</v>
      </c>
      <c r="K73" s="40">
        <v>8232.4456799999989</v>
      </c>
      <c r="L73" s="40">
        <f t="shared" si="12"/>
        <v>510000.00987599994</v>
      </c>
    </row>
    <row r="74" spans="1:15" s="230" customFormat="1" ht="15" thickBot="1" x14ac:dyDescent="0.35">
      <c r="E74" s="60">
        <f>SUM(COUNTIF(E64:E73,{"Y","Y1","Y2"}))</f>
        <v>8</v>
      </c>
      <c r="F74" s="62">
        <f>-PV($G$6,$G$7-E74,F73)</f>
        <v>416500.58413037763</v>
      </c>
      <c r="G74" s="55" t="s">
        <v>11</v>
      </c>
    </row>
    <row r="75" spans="1:15" s="230" customFormat="1" ht="15" thickTop="1" x14ac:dyDescent="0.3"/>
    <row r="76" spans="1:15" s="230" customFormat="1" ht="15.6" x14ac:dyDescent="0.3">
      <c r="A76" s="409" t="s">
        <v>54</v>
      </c>
      <c r="B76" s="410"/>
      <c r="C76" s="410"/>
      <c r="D76" s="410"/>
      <c r="E76" s="410"/>
      <c r="F76" s="411"/>
      <c r="H76" s="406" t="s">
        <v>62</v>
      </c>
      <c r="I76" s="406"/>
      <c r="J76" s="406"/>
      <c r="K76" s="406"/>
      <c r="L76" s="406"/>
    </row>
    <row r="77" spans="1:15" s="230" customFormat="1" ht="57.6" x14ac:dyDescent="0.3">
      <c r="A77" s="220" t="s">
        <v>5</v>
      </c>
      <c r="B77" s="51" t="s">
        <v>151</v>
      </c>
      <c r="C77" s="51" t="s">
        <v>152</v>
      </c>
      <c r="D77" s="51" t="s">
        <v>153</v>
      </c>
      <c r="E77" s="51" t="s">
        <v>12</v>
      </c>
      <c r="F77" s="51" t="s">
        <v>134</v>
      </c>
      <c r="H77" s="220" t="s">
        <v>5</v>
      </c>
      <c r="I77" s="51" t="s">
        <v>75</v>
      </c>
      <c r="J77" s="51" t="s">
        <v>51</v>
      </c>
      <c r="K77" s="50" t="s">
        <v>0</v>
      </c>
      <c r="L77" s="51" t="s">
        <v>58</v>
      </c>
    </row>
    <row r="78" spans="1:15" s="230" customFormat="1" x14ac:dyDescent="0.3">
      <c r="A78" s="72" t="s">
        <v>64</v>
      </c>
      <c r="B78" s="387">
        <f>IF($E78="Y1",'WindMonitoring_BATS-BETS'!B77,IF($E78="Y2",'WindMonitoring_BATS-BETS'!B77+'Third_Line_MLTS-BATS'!B77,IF($E78="Y",Base!B74-Option3b!I78,IF($E78="N",0))))</f>
        <v>0</v>
      </c>
      <c r="C78" s="387">
        <f>IF($E78="Y1",'WindMonitoring_BATS-BETS'!C77,IF($E78="Y2",'WindMonitoring_BATS-BETS'!C77+'Third_Line_MLTS-BATS'!C77,IF($E78="Y",Base!C74-Option3b!J78,IF($E78="N",0))))</f>
        <v>0</v>
      </c>
      <c r="D78" s="387">
        <f>IF($E78="Y1",'WindMonitoring_BATS-BETS'!D77,IF($E78="Y2",'WindMonitoring_BATS-BETS'!D77+'Third_Line_MLTS-BATS'!D77,IF($E78="Y",Base!D74-Option3b!K78,IF($E78="N",0))))</f>
        <v>0</v>
      </c>
      <c r="E78" s="221" t="str">
        <f>E36</f>
        <v>N</v>
      </c>
      <c r="F78" s="52">
        <f>IF(OR(E78="Y",E78="Y1",E78="Y2"),D78*$G$5,0)</f>
        <v>0</v>
      </c>
      <c r="H78" s="72" t="s">
        <v>64</v>
      </c>
      <c r="I78" s="40">
        <v>523.2299999999999</v>
      </c>
      <c r="J78" s="40">
        <v>8617.9499999999989</v>
      </c>
      <c r="K78" s="40">
        <v>7210.8119999999999</v>
      </c>
      <c r="L78" s="40">
        <f t="shared" ref="L78:L87" si="15">K78*$G$5</f>
        <v>446709.80340000003</v>
      </c>
    </row>
    <row r="79" spans="1:15" s="230" customFormat="1" x14ac:dyDescent="0.3">
      <c r="A79" s="72" t="s">
        <v>65</v>
      </c>
      <c r="B79" s="387">
        <f>IF($E79="Y1",'WindMonitoring_BATS-BETS'!B78,IF($E79="Y2",'WindMonitoring_BATS-BETS'!B78+'Third_Line_MLTS-BATS'!B78,IF($E79="Y",Base!B75-Option3b!I79,IF($E79="N",0))))</f>
        <v>0</v>
      </c>
      <c r="C79" s="387">
        <f>IF($E79="Y1",'WindMonitoring_BATS-BETS'!C78,IF($E79="Y2",'WindMonitoring_BATS-BETS'!C78+'Third_Line_MLTS-BATS'!C78,IF($E79="Y",Base!C75-Option3b!J79,IF($E79="N",0))))</f>
        <v>0</v>
      </c>
      <c r="D79" s="387">
        <f>IF($E79="Y1",'WindMonitoring_BATS-BETS'!D78,IF($E79="Y2",'WindMonitoring_BATS-BETS'!D78+'Third_Line_MLTS-BATS'!D78,IF($E79="Y",Base!D75-Option3b!K79,IF($E79="N",0))))</f>
        <v>0</v>
      </c>
      <c r="E79" s="221" t="str">
        <f t="shared" ref="E79:E87" si="16">E37</f>
        <v>N</v>
      </c>
      <c r="F79" s="52">
        <f t="shared" ref="F79:F87" si="17">IF(OR(E79="Y",E79="Y1",E79="Y2"),D79*$G$5,0)</f>
        <v>0</v>
      </c>
      <c r="H79" s="72" t="s">
        <v>65</v>
      </c>
      <c r="I79" s="40">
        <v>546.63999999999987</v>
      </c>
      <c r="J79" s="40">
        <v>8750.58</v>
      </c>
      <c r="K79" s="40">
        <v>7261.0216799999998</v>
      </c>
      <c r="L79" s="40">
        <f t="shared" si="15"/>
        <v>449820.293076</v>
      </c>
    </row>
    <row r="80" spans="1:15" s="230" customFormat="1" x14ac:dyDescent="0.3">
      <c r="A80" s="72" t="s">
        <v>66</v>
      </c>
      <c r="B80" s="387">
        <f>IF($E80="Y1",'WindMonitoring_BATS-BETS'!B79,IF($E80="Y2",'WindMonitoring_BATS-BETS'!B79+'Third_Line_MLTS-BATS'!B79,IF($E80="Y",Base!B76-Option3b!I80,IF($E80="N",0))))</f>
        <v>16.960000000000036</v>
      </c>
      <c r="C80" s="387">
        <f>IF($E80="Y1",'WindMonitoring_BATS-BETS'!C79,IF($E80="Y2",'WindMonitoring_BATS-BETS'!C79+'Third_Line_MLTS-BATS'!C79,IF($E80="Y",Base!C76-Option3b!J80,IF($E80="N",0))))</f>
        <v>71.280000000000655</v>
      </c>
      <c r="D80" s="387">
        <f>IF($E80="Y1",'WindMonitoring_BATS-BETS'!D79,IF($E80="Y2",'WindMonitoring_BATS-BETS'!D79+'Third_Line_MLTS-BATS'!D79,IF($E80="Y",Base!D76-Option3b!K80,IF($E80="N",0))))</f>
        <v>42.068879999999808</v>
      </c>
      <c r="E80" s="221" t="str">
        <f t="shared" si="16"/>
        <v>Y1</v>
      </c>
      <c r="F80" s="52">
        <f t="shared" si="17"/>
        <v>2606.1671159999883</v>
      </c>
      <c r="H80" s="72" t="s">
        <v>66</v>
      </c>
      <c r="I80" s="40">
        <v>566.91</v>
      </c>
      <c r="J80" s="40">
        <v>8864.0500000000011</v>
      </c>
      <c r="K80" s="40">
        <v>7329.5022399999998</v>
      </c>
      <c r="L80" s="40">
        <f t="shared" si="15"/>
        <v>454062.66376800003</v>
      </c>
      <c r="N80" s="39"/>
      <c r="O80" s="39"/>
    </row>
    <row r="81" spans="1:15" s="230" customFormat="1" x14ac:dyDescent="0.3">
      <c r="A81" s="72" t="s">
        <v>67</v>
      </c>
      <c r="B81" s="387">
        <f>IF($E81="Y1",'WindMonitoring_BATS-BETS'!B80,IF($E81="Y2",'WindMonitoring_BATS-BETS'!B80+'Third_Line_MLTS-BATS'!B80,IF($E81="Y",Base!B77-Option3b!I81,IF($E81="N",0))))</f>
        <v>39.96000000000015</v>
      </c>
      <c r="C81" s="387">
        <f>IF($E81="Y1",'WindMonitoring_BATS-BETS'!C80,IF($E81="Y2",'WindMonitoring_BATS-BETS'!C80+'Third_Line_MLTS-BATS'!C80,IF($E81="Y",Base!C77-Option3b!J81,IF($E81="N",0))))</f>
        <v>200.28000000000247</v>
      </c>
      <c r="D81" s="387">
        <f>IF($E81="Y1",'WindMonitoring_BATS-BETS'!D80,IF($E81="Y2",'WindMonitoring_BATS-BETS'!D80+'Third_Line_MLTS-BATS'!D80,IF($E81="Y",Base!D77-Option3b!K81,IF($E81="N",0))))</f>
        <v>129.85176000000138</v>
      </c>
      <c r="E81" s="221" t="str">
        <f t="shared" si="16"/>
        <v>Y1</v>
      </c>
      <c r="F81" s="52">
        <f t="shared" si="17"/>
        <v>8044.3165320000853</v>
      </c>
      <c r="H81" s="72" t="s">
        <v>67</v>
      </c>
      <c r="I81" s="40">
        <v>609.04</v>
      </c>
      <c r="J81" s="40">
        <v>9050.4000000000015</v>
      </c>
      <c r="K81" s="40">
        <v>7475.5259999999998</v>
      </c>
      <c r="L81" s="40">
        <f t="shared" si="15"/>
        <v>463108.8357</v>
      </c>
      <c r="N81" s="45"/>
      <c r="O81" s="54"/>
    </row>
    <row r="82" spans="1:15" s="230" customFormat="1" x14ac:dyDescent="0.3">
      <c r="A82" s="72" t="s">
        <v>68</v>
      </c>
      <c r="B82" s="387">
        <f>IF($E82="Y1",'WindMonitoring_BATS-BETS'!B81,IF($E82="Y2",'WindMonitoring_BATS-BETS'!B81+'Third_Line_MLTS-BATS'!B81,IF($E82="Y",Base!B78-Option3b!I82,IF($E82="N",0))))</f>
        <v>49.770000000000095</v>
      </c>
      <c r="C82" s="387">
        <f>IF($E82="Y1",'WindMonitoring_BATS-BETS'!C81,IF($E82="Y2",'WindMonitoring_BATS-BETS'!C81+'Third_Line_MLTS-BATS'!C81,IF($E82="Y",Base!C78-Option3b!J82,IF($E82="N",0))))</f>
        <v>1045.4900000000052</v>
      </c>
      <c r="D82" s="387">
        <f>IF($E82="Y1",'WindMonitoring_BATS-BETS'!D81,IF($E82="Y2",'WindMonitoring_BATS-BETS'!D81+'Third_Line_MLTS-BATS'!D81,IF($E82="Y",Base!D78-Option3b!K82,IF($E82="N",0))))</f>
        <v>595.82528000000093</v>
      </c>
      <c r="E82" s="221" t="str">
        <f t="shared" si="16"/>
        <v>Y2</v>
      </c>
      <c r="F82" s="52">
        <f t="shared" si="17"/>
        <v>36911.376096000058</v>
      </c>
      <c r="H82" s="72" t="s">
        <v>68</v>
      </c>
      <c r="I82" s="40">
        <v>911.06000000000006</v>
      </c>
      <c r="J82" s="40">
        <v>9572.23</v>
      </c>
      <c r="K82" s="40">
        <v>7713.1304799999989</v>
      </c>
      <c r="L82" s="40">
        <f t="shared" si="15"/>
        <v>477828.43323599995</v>
      </c>
      <c r="N82" s="45"/>
      <c r="O82" s="54"/>
    </row>
    <row r="83" spans="1:15" s="230" customFormat="1" x14ac:dyDescent="0.3">
      <c r="A83" s="72" t="s">
        <v>69</v>
      </c>
      <c r="B83" s="387">
        <f>IF($E83="Y1",'WindMonitoring_BATS-BETS'!B82,IF($E83="Y2",'WindMonitoring_BATS-BETS'!B82+'Third_Line_MLTS-BATS'!B82,IF($E83="Y",Base!B79-Option3b!I83,IF($E83="N",0))))</f>
        <v>139.37</v>
      </c>
      <c r="C83" s="387">
        <f>IF($E83="Y1",'WindMonitoring_BATS-BETS'!C82,IF($E83="Y2",'WindMonitoring_BATS-BETS'!C82+'Third_Line_MLTS-BATS'!C82,IF($E83="Y",Base!C79-Option3b!J83,IF($E83="N",0))))</f>
        <v>1021.6200000000026</v>
      </c>
      <c r="D83" s="387">
        <f>IF($E83="Y1",'WindMonitoring_BATS-BETS'!D82,IF($E83="Y2",'WindMonitoring_BATS-BETS'!D82+'Third_Line_MLTS-BATS'!D82,IF($E83="Y",Base!D79-Option3b!K83,IF($E83="N",0))))</f>
        <v>602.62104000000181</v>
      </c>
      <c r="E83" s="221" t="str">
        <f t="shared" si="16"/>
        <v>Y2</v>
      </c>
      <c r="F83" s="52">
        <f t="shared" si="17"/>
        <v>37332.373428000115</v>
      </c>
      <c r="H83" s="72" t="s">
        <v>69</v>
      </c>
      <c r="I83" s="40">
        <v>995.0100000000001</v>
      </c>
      <c r="J83" s="40">
        <v>10001.91</v>
      </c>
      <c r="K83" s="40">
        <v>7983.1550399999996</v>
      </c>
      <c r="L83" s="40">
        <f t="shared" si="15"/>
        <v>494556.45472799998</v>
      </c>
      <c r="N83" s="39"/>
      <c r="O83" s="39"/>
    </row>
    <row r="84" spans="1:15" s="230" customFormat="1" x14ac:dyDescent="0.3">
      <c r="A84" s="72" t="s">
        <v>70</v>
      </c>
      <c r="B84" s="387">
        <f>IF($E84="Y1",'WindMonitoring_BATS-BETS'!B83,IF($E84="Y2",'WindMonitoring_BATS-BETS'!B83+'Third_Line_MLTS-BATS'!B83,IF($E84="Y",Base!B80-Option3b!I84,IF($E84="N",0))))</f>
        <v>164.12</v>
      </c>
      <c r="C84" s="387">
        <f>IF($E84="Y1",'WindMonitoring_BATS-BETS'!C83,IF($E84="Y2",'WindMonitoring_BATS-BETS'!C83+'Third_Line_MLTS-BATS'!C83,IF($E84="Y",Base!C80-Option3b!J84,IF($E84="N",0))))</f>
        <v>1889.3999999999978</v>
      </c>
      <c r="D84" s="387">
        <f>IF($E84="Y1",'WindMonitoring_BATS-BETS'!D83,IF($E84="Y2",'WindMonitoring_BATS-BETS'!D83+'Third_Line_MLTS-BATS'!D83,IF($E84="Y",Base!D80-Option3b!K84,IF($E84="N",0))))</f>
        <v>1161.453599999998</v>
      </c>
      <c r="E84" s="221" t="str">
        <f t="shared" si="16"/>
        <v>Y</v>
      </c>
      <c r="F84" s="52">
        <f t="shared" si="17"/>
        <v>71952.050519999873</v>
      </c>
      <c r="H84" s="72" t="s">
        <v>70</v>
      </c>
      <c r="I84" s="40">
        <v>960.52999999999986</v>
      </c>
      <c r="J84" s="40">
        <v>10209.14</v>
      </c>
      <c r="K84" s="40">
        <v>8059.2725600000003</v>
      </c>
      <c r="L84" s="40">
        <f t="shared" si="15"/>
        <v>499271.93509200006</v>
      </c>
      <c r="N84" s="39"/>
      <c r="O84" s="39"/>
    </row>
    <row r="85" spans="1:15" s="230" customFormat="1" x14ac:dyDescent="0.3">
      <c r="A85" s="72" t="s">
        <v>71</v>
      </c>
      <c r="B85" s="387">
        <f>IF($E85="Y1",'WindMonitoring_BATS-BETS'!B84,IF($E85="Y2",'WindMonitoring_BATS-BETS'!B84+'Third_Line_MLTS-BATS'!B84,IF($E85="Y",Base!B81-Option3b!I85,IF($E85="N",0))))</f>
        <v>341.38</v>
      </c>
      <c r="C85" s="387">
        <f>IF($E85="Y1",'WindMonitoring_BATS-BETS'!C84,IF($E85="Y2",'WindMonitoring_BATS-BETS'!C84+'Third_Line_MLTS-BATS'!C84,IF($E85="Y",Base!C81-Option3b!J85,IF($E85="N",0))))</f>
        <v>2100.3000000000029</v>
      </c>
      <c r="D85" s="387">
        <f>IF($E85="Y1",'WindMonitoring_BATS-BETS'!D84,IF($E85="Y2",'WindMonitoring_BATS-BETS'!D84+'Third_Line_MLTS-BATS'!D84,IF($E85="Y",Base!D81-Option3b!K85,IF($E85="N",0))))</f>
        <v>1262.5804800000024</v>
      </c>
      <c r="E85" s="221" t="str">
        <f t="shared" si="16"/>
        <v>Y</v>
      </c>
      <c r="F85" s="52">
        <f t="shared" si="17"/>
        <v>78216.860736000148</v>
      </c>
      <c r="H85" s="72" t="s">
        <v>71</v>
      </c>
      <c r="I85" s="40">
        <v>961.6</v>
      </c>
      <c r="J85" s="40">
        <v>10621.77</v>
      </c>
      <c r="K85" s="40">
        <v>8229.7432799999988</v>
      </c>
      <c r="L85" s="40">
        <f t="shared" si="15"/>
        <v>509832.59619599994</v>
      </c>
      <c r="N85" s="39"/>
      <c r="O85" s="39"/>
    </row>
    <row r="86" spans="1:15" s="230" customFormat="1" x14ac:dyDescent="0.3">
      <c r="A86" s="72" t="s">
        <v>72</v>
      </c>
      <c r="B86" s="387">
        <f>IF($E86="Y1",'WindMonitoring_BATS-BETS'!B85,IF($E86="Y2",'WindMonitoring_BATS-BETS'!B85+'Third_Line_MLTS-BATS'!B85,IF($E86="Y",Base!B82-Option3b!I86,IF($E86="N",0))))</f>
        <v>131.96000000000026</v>
      </c>
      <c r="C86" s="387">
        <f>IF($E86="Y1",'WindMonitoring_BATS-BETS'!C85,IF($E86="Y2",'WindMonitoring_BATS-BETS'!C85+'Third_Line_MLTS-BATS'!C85,IF($E86="Y",Base!C82-Option3b!J86,IF($E86="N",0))))</f>
        <v>2103.08</v>
      </c>
      <c r="D86" s="387">
        <f>IF($E86="Y1",'WindMonitoring_BATS-BETS'!D85,IF($E86="Y2",'WindMonitoring_BATS-BETS'!D85+'Third_Line_MLTS-BATS'!D85,IF($E86="Y",Base!D82-Option3b!K86,IF($E86="N",0))))</f>
        <v>1314.1431200000006</v>
      </c>
      <c r="E86" s="221" t="str">
        <f t="shared" si="16"/>
        <v>Y</v>
      </c>
      <c r="F86" s="52">
        <f t="shared" si="17"/>
        <v>81411.16628400005</v>
      </c>
      <c r="H86" s="72" t="s">
        <v>72</v>
      </c>
      <c r="I86" s="40">
        <v>1078.51</v>
      </c>
      <c r="J86" s="40">
        <v>11214.55</v>
      </c>
      <c r="K86" s="40">
        <v>8481.8312799999985</v>
      </c>
      <c r="L86" s="40">
        <f t="shared" si="15"/>
        <v>525449.44779599993</v>
      </c>
    </row>
    <row r="87" spans="1:15" s="230" customFormat="1" x14ac:dyDescent="0.3">
      <c r="A87" s="72" t="s">
        <v>73</v>
      </c>
      <c r="B87" s="387">
        <f>IF($E87="Y1",'WindMonitoring_BATS-BETS'!B86,IF($E87="Y2",'WindMonitoring_BATS-BETS'!B86+'Third_Line_MLTS-BATS'!B86,IF($E87="Y",Base!B83-Option3b!I87,IF($E87="N",0))))</f>
        <v>145.40999999999963</v>
      </c>
      <c r="C87" s="387">
        <f>IF($E87="Y1",'WindMonitoring_BATS-BETS'!C86,IF($E87="Y2",'WindMonitoring_BATS-BETS'!C86+'Third_Line_MLTS-BATS'!C86,IF($E87="Y",Base!C83-Option3b!J87,IF($E87="N",0))))</f>
        <v>2598.2499999999964</v>
      </c>
      <c r="D87" s="387">
        <f>IF($E87="Y1",'WindMonitoring_BATS-BETS'!D86,IF($E87="Y2",'WindMonitoring_BATS-BETS'!D86+'Third_Line_MLTS-BATS'!D86,IF($E87="Y",Base!D83-Option3b!K87,IF($E87="N",0))))</f>
        <v>1637.1157600000006</v>
      </c>
      <c r="E87" s="221" t="str">
        <f t="shared" si="16"/>
        <v>Y</v>
      </c>
      <c r="F87" s="52">
        <f t="shared" si="17"/>
        <v>101419.32133200004</v>
      </c>
      <c r="H87" s="72" t="s">
        <v>73</v>
      </c>
      <c r="I87" s="40">
        <v>1258.3100000000002</v>
      </c>
      <c r="J87" s="40">
        <v>12342.060000000001</v>
      </c>
      <c r="K87" s="40">
        <v>8865.5956799999985</v>
      </c>
      <c r="L87" s="40">
        <f t="shared" si="15"/>
        <v>549223.65237599995</v>
      </c>
    </row>
    <row r="88" spans="1:15" s="230" customFormat="1" ht="15" thickBot="1" x14ac:dyDescent="0.35">
      <c r="E88" s="60">
        <f>SUM(COUNTIF(E78:E87,{"Y","Y1","Y2"}))</f>
        <v>8</v>
      </c>
      <c r="F88" s="62">
        <f>-PV($G$6,$G$7-E88,F87)</f>
        <v>966158.54735038709</v>
      </c>
      <c r="G88" s="55" t="s">
        <v>11</v>
      </c>
    </row>
    <row r="89" spans="1:15" s="230" customFormat="1" ht="15" thickTop="1" x14ac:dyDescent="0.3"/>
    <row r="90" spans="1:15" s="230" customFormat="1" ht="15.6" x14ac:dyDescent="0.3">
      <c r="A90" s="409" t="s">
        <v>53</v>
      </c>
      <c r="B90" s="410"/>
      <c r="C90" s="410"/>
      <c r="D90" s="410"/>
      <c r="E90" s="410"/>
      <c r="F90" s="411"/>
      <c r="H90" s="406" t="s">
        <v>63</v>
      </c>
      <c r="I90" s="406"/>
      <c r="J90" s="406"/>
      <c r="K90" s="406"/>
      <c r="L90" s="406"/>
    </row>
    <row r="91" spans="1:15" s="230" customFormat="1" ht="57.6" x14ac:dyDescent="0.3">
      <c r="A91" s="220" t="s">
        <v>5</v>
      </c>
      <c r="B91" s="51" t="s">
        <v>151</v>
      </c>
      <c r="C91" s="51" t="s">
        <v>152</v>
      </c>
      <c r="D91" s="51" t="s">
        <v>153</v>
      </c>
      <c r="E91" s="51" t="s">
        <v>12</v>
      </c>
      <c r="F91" s="51" t="s">
        <v>134</v>
      </c>
      <c r="H91" s="220" t="s">
        <v>5</v>
      </c>
      <c r="I91" s="51" t="s">
        <v>75</v>
      </c>
      <c r="J91" s="51" t="s">
        <v>51</v>
      </c>
      <c r="K91" s="50" t="s">
        <v>0</v>
      </c>
      <c r="L91" s="51" t="s">
        <v>58</v>
      </c>
    </row>
    <row r="92" spans="1:15" s="230" customFormat="1" x14ac:dyDescent="0.3">
      <c r="A92" s="72" t="s">
        <v>64</v>
      </c>
      <c r="B92" s="387">
        <f>IF($E92="Y1",'WindMonitoring_BATS-BETS'!B91,IF($E92="Y2",'WindMonitoring_BATS-BETS'!B91+'Third_Line_MLTS-BATS'!B91,IF($E92="Y",Base!B88-Option3b!I92,IF($E92="N",0))))</f>
        <v>0</v>
      </c>
      <c r="C92" s="387">
        <f>IF($E92="Y1",'WindMonitoring_BATS-BETS'!C91,IF($E92="Y2",'WindMonitoring_BATS-BETS'!C91+'Third_Line_MLTS-BATS'!C91,IF($E92="Y",Base!C88-Option3b!J92,IF($E92="N",0))))</f>
        <v>0</v>
      </c>
      <c r="D92" s="387">
        <f>IF($E92="Y1",'WindMonitoring_BATS-BETS'!D91,IF($E92="Y2",'WindMonitoring_BATS-BETS'!D91+'Third_Line_MLTS-BATS'!D91,IF($E92="Y",Base!D88-Option3b!K92,IF($E92="N",0))))</f>
        <v>0</v>
      </c>
      <c r="E92" s="221" t="str">
        <f>E36</f>
        <v>N</v>
      </c>
      <c r="F92" s="52">
        <f>IF(OR(E92="Y",E92="Y1",E92="Y2"),D92*$G$5,0)</f>
        <v>0</v>
      </c>
      <c r="H92" s="72" t="s">
        <v>64</v>
      </c>
      <c r="I92" s="40">
        <v>553.71</v>
      </c>
      <c r="J92" s="40">
        <v>8763.6</v>
      </c>
      <c r="K92" s="40">
        <v>7320.5135999999993</v>
      </c>
      <c r="L92" s="40">
        <f t="shared" ref="L92:L101" si="18">K92*$G$5</f>
        <v>453505.81751999998</v>
      </c>
    </row>
    <row r="93" spans="1:15" s="230" customFormat="1" x14ac:dyDescent="0.3">
      <c r="A93" s="72" t="s">
        <v>65</v>
      </c>
      <c r="B93" s="387">
        <f>IF($E93="Y1",'WindMonitoring_BATS-BETS'!B92,IF($E93="Y2",'WindMonitoring_BATS-BETS'!B92+'Third_Line_MLTS-BATS'!B92,IF($E93="Y",Base!B89-Option3b!I93,IF($E93="N",0))))</f>
        <v>0</v>
      </c>
      <c r="C93" s="387">
        <f>IF($E93="Y1",'WindMonitoring_BATS-BETS'!C92,IF($E93="Y2",'WindMonitoring_BATS-BETS'!C92+'Third_Line_MLTS-BATS'!C92,IF($E93="Y",Base!C89-Option3b!J93,IF($E93="N",0))))</f>
        <v>0</v>
      </c>
      <c r="D93" s="387">
        <f>IF($E93="Y1",'WindMonitoring_BATS-BETS'!D92,IF($E93="Y2",'WindMonitoring_BATS-BETS'!D92+'Third_Line_MLTS-BATS'!D92,IF($E93="Y",Base!D89-Option3b!K93,IF($E93="N",0))))</f>
        <v>0</v>
      </c>
      <c r="E93" s="221" t="str">
        <f t="shared" ref="E93:E101" si="19">E37</f>
        <v>N</v>
      </c>
      <c r="F93" s="52">
        <f t="shared" ref="F93:F101" si="20">IF(OR(E93="Y",E93="Y1",E93="Y2"),D93*$G$5,0)</f>
        <v>0</v>
      </c>
      <c r="H93" s="72" t="s">
        <v>65</v>
      </c>
      <c r="I93" s="40">
        <v>582.72</v>
      </c>
      <c r="J93" s="40">
        <v>8882.1200000000008</v>
      </c>
      <c r="K93" s="40">
        <v>7312.4799199999998</v>
      </c>
      <c r="L93" s="40">
        <f t="shared" si="18"/>
        <v>453008.13104399998</v>
      </c>
    </row>
    <row r="94" spans="1:15" s="230" customFormat="1" x14ac:dyDescent="0.3">
      <c r="A94" s="72" t="s">
        <v>66</v>
      </c>
      <c r="B94" s="387">
        <f>IF($E94="Y1",'WindMonitoring_BATS-BETS'!B93,IF($E94="Y2",'WindMonitoring_BATS-BETS'!B93+'Third_Line_MLTS-BATS'!B93,IF($E94="Y",Base!B90-Option3b!I94,IF($E94="N",0))))</f>
        <v>4.1400000000001</v>
      </c>
      <c r="C94" s="387">
        <f>IF($E94="Y1",'WindMonitoring_BATS-BETS'!C93,IF($E94="Y2",'WindMonitoring_BATS-BETS'!C93+'Third_Line_MLTS-BATS'!C93,IF($E94="Y",Base!C90-Option3b!J94,IF($E94="N",0))))</f>
        <v>235.40999999999985</v>
      </c>
      <c r="D94" s="387">
        <f>IF($E94="Y1",'WindMonitoring_BATS-BETS'!D93,IF($E94="Y2",'WindMonitoring_BATS-BETS'!D93+'Third_Line_MLTS-BATS'!D93,IF($E94="Y",Base!D90-Option3b!K94,IF($E94="N",0))))</f>
        <v>221.57352000000083</v>
      </c>
      <c r="E94" s="221" t="str">
        <f t="shared" si="19"/>
        <v>Y1</v>
      </c>
      <c r="F94" s="52">
        <f t="shared" si="20"/>
        <v>13726.479564000052</v>
      </c>
      <c r="H94" s="72" t="s">
        <v>66</v>
      </c>
      <c r="I94" s="40">
        <v>645.58000000000004</v>
      </c>
      <c r="J94" s="40">
        <v>9265.5200000000023</v>
      </c>
      <c r="K94" s="40">
        <v>7550.0957600000002</v>
      </c>
      <c r="L94" s="40">
        <f t="shared" si="18"/>
        <v>467728.43233200005</v>
      </c>
    </row>
    <row r="95" spans="1:15" s="230" customFormat="1" x14ac:dyDescent="0.3">
      <c r="A95" s="72" t="s">
        <v>67</v>
      </c>
      <c r="B95" s="387">
        <f>IF($E95="Y1",'WindMonitoring_BATS-BETS'!B94,IF($E95="Y2",'WindMonitoring_BATS-BETS'!B94+'Third_Line_MLTS-BATS'!B94,IF($E95="Y",Base!B91-Option3b!I95,IF($E95="N",0))))</f>
        <v>32.919999999999959</v>
      </c>
      <c r="C95" s="387">
        <f>IF($E95="Y1",'WindMonitoring_BATS-BETS'!C94,IF($E95="Y2",'WindMonitoring_BATS-BETS'!C94+'Third_Line_MLTS-BATS'!C94,IF($E95="Y",Base!C91-Option3b!J95,IF($E95="N",0))))</f>
        <v>276.59000000000015</v>
      </c>
      <c r="D95" s="387">
        <f>IF($E95="Y1",'WindMonitoring_BATS-BETS'!D94,IF($E95="Y2",'WindMonitoring_BATS-BETS'!D94+'Third_Line_MLTS-BATS'!D94,IF($E95="Y",Base!D91-Option3b!K95,IF($E95="N",0))))</f>
        <v>229.70048000000043</v>
      </c>
      <c r="E95" s="221" t="str">
        <f t="shared" si="19"/>
        <v>Y1</v>
      </c>
      <c r="F95" s="52">
        <f t="shared" si="20"/>
        <v>14229.944736000027</v>
      </c>
      <c r="H95" s="72" t="s">
        <v>67</v>
      </c>
      <c r="I95" s="40">
        <v>692.4</v>
      </c>
      <c r="J95" s="40">
        <v>9449.5199999999986</v>
      </c>
      <c r="K95" s="40">
        <v>7594.31808</v>
      </c>
      <c r="L95" s="40">
        <f t="shared" si="18"/>
        <v>470468.00505600002</v>
      </c>
    </row>
    <row r="96" spans="1:15" s="230" customFormat="1" x14ac:dyDescent="0.3">
      <c r="A96" s="72" t="s">
        <v>68</v>
      </c>
      <c r="B96" s="387">
        <f>IF($E96="Y1",'WindMonitoring_BATS-BETS'!B95,IF($E96="Y2",'WindMonitoring_BATS-BETS'!B95+'Third_Line_MLTS-BATS'!B95,IF($E96="Y",Base!B92-Option3b!I96,IF($E96="N",0))))</f>
        <v>125.17999999999984</v>
      </c>
      <c r="C96" s="387">
        <f>IF($E96="Y1",'WindMonitoring_BATS-BETS'!C95,IF($E96="Y2",'WindMonitoring_BATS-BETS'!C95+'Third_Line_MLTS-BATS'!C95,IF($E96="Y",Base!C92-Option3b!J96,IF($E96="N",0))))</f>
        <v>614.61999999999898</v>
      </c>
      <c r="D96" s="387">
        <f>IF($E96="Y1",'WindMonitoring_BATS-BETS'!D95,IF($E96="Y2",'WindMonitoring_BATS-BETS'!D95+'Third_Line_MLTS-BATS'!D95,IF($E96="Y",Base!D92-Option3b!K96,IF($E96="N",0))))</f>
        <v>656.90895999999884</v>
      </c>
      <c r="E96" s="221" t="str">
        <f t="shared" si="19"/>
        <v>Y2</v>
      </c>
      <c r="F96" s="52">
        <f t="shared" si="20"/>
        <v>40695.510071999932</v>
      </c>
      <c r="H96" s="72" t="s">
        <v>68</v>
      </c>
      <c r="I96" s="40">
        <v>764.91</v>
      </c>
      <c r="J96" s="40">
        <v>9729.43</v>
      </c>
      <c r="K96" s="40">
        <v>7664.8434399999996</v>
      </c>
      <c r="L96" s="40">
        <f t="shared" si="18"/>
        <v>474837.05110799999</v>
      </c>
    </row>
    <row r="97" spans="1:12" s="230" customFormat="1" x14ac:dyDescent="0.3">
      <c r="A97" s="72" t="s">
        <v>69</v>
      </c>
      <c r="B97" s="387">
        <f>IF($E97="Y1",'WindMonitoring_BATS-BETS'!B96,IF($E97="Y2",'WindMonitoring_BATS-BETS'!B96+'Third_Line_MLTS-BATS'!B96,IF($E97="Y",Base!B93-Option3b!I97,IF($E97="N",0))))</f>
        <v>169.05000000000018</v>
      </c>
      <c r="C97" s="387">
        <f>IF($E97="Y1",'WindMonitoring_BATS-BETS'!C96,IF($E97="Y2",'WindMonitoring_BATS-BETS'!C96+'Third_Line_MLTS-BATS'!C96,IF($E97="Y",Base!C93-Option3b!J97,IF($E97="N",0))))</f>
        <v>780.53999999999724</v>
      </c>
      <c r="D97" s="387">
        <f>IF($E97="Y1",'WindMonitoring_BATS-BETS'!D96,IF($E97="Y2",'WindMonitoring_BATS-BETS'!D96+'Third_Line_MLTS-BATS'!D96,IF($E97="Y",Base!D93-Option3b!K97,IF($E97="N",0))))</f>
        <v>729.75984000000062</v>
      </c>
      <c r="E97" s="221" t="str">
        <f t="shared" si="19"/>
        <v>Y2</v>
      </c>
      <c r="F97" s="52">
        <f t="shared" si="20"/>
        <v>45208.62208800004</v>
      </c>
      <c r="H97" s="72" t="s">
        <v>69</v>
      </c>
      <c r="I97" s="40">
        <v>864.18000000000006</v>
      </c>
      <c r="J97" s="40">
        <v>10402.049999999999</v>
      </c>
      <c r="K97" s="40">
        <v>7976.4134399999984</v>
      </c>
      <c r="L97" s="40">
        <f t="shared" si="18"/>
        <v>494138.81260799995</v>
      </c>
    </row>
    <row r="98" spans="1:12" s="230" customFormat="1" x14ac:dyDescent="0.3">
      <c r="A98" s="72" t="s">
        <v>70</v>
      </c>
      <c r="B98" s="387">
        <f>IF($E98="Y1",'WindMonitoring_BATS-BETS'!B97,IF($E98="Y2",'WindMonitoring_BATS-BETS'!B97+'Third_Line_MLTS-BATS'!B97,IF($E98="Y",Base!B94-Option3b!I98,IF($E98="N",0))))</f>
        <v>175.6600000000002</v>
      </c>
      <c r="C98" s="387">
        <f>IF($E98="Y1",'WindMonitoring_BATS-BETS'!C97,IF($E98="Y2",'WindMonitoring_BATS-BETS'!C97+'Third_Line_MLTS-BATS'!C97,IF($E98="Y",Base!C94-Option3b!J98,IF($E98="N",0))))</f>
        <v>780.35999999999876</v>
      </c>
      <c r="D98" s="387">
        <f>IF($E98="Y1",'WindMonitoring_BATS-BETS'!D97,IF($E98="Y2",'WindMonitoring_BATS-BETS'!D97+'Third_Line_MLTS-BATS'!D97,IF($E98="Y",Base!D94-Option3b!K98,IF($E98="N",0))))</f>
        <v>527.5031999999992</v>
      </c>
      <c r="E98" s="221" t="str">
        <f t="shared" si="19"/>
        <v>Y</v>
      </c>
      <c r="F98" s="52">
        <f t="shared" si="20"/>
        <v>32678.823239999951</v>
      </c>
      <c r="H98" s="72" t="s">
        <v>70</v>
      </c>
      <c r="I98" s="40">
        <v>897.21999999999991</v>
      </c>
      <c r="J98" s="40">
        <v>11500.82</v>
      </c>
      <c r="K98" s="40">
        <v>8475.1618400000007</v>
      </c>
      <c r="L98" s="40">
        <f t="shared" si="18"/>
        <v>525036.2759880001</v>
      </c>
    </row>
    <row r="99" spans="1:12" s="230" customFormat="1" x14ac:dyDescent="0.3">
      <c r="A99" s="72" t="s">
        <v>71</v>
      </c>
      <c r="B99" s="387">
        <f>IF($E99="Y1",'WindMonitoring_BATS-BETS'!B98,IF($E99="Y2",'WindMonitoring_BATS-BETS'!B98+'Third_Line_MLTS-BATS'!B98,IF($E99="Y",Base!B95-Option3b!I99,IF($E99="N",0))))</f>
        <v>181.25000000000023</v>
      </c>
      <c r="C99" s="387">
        <f>IF($E99="Y1",'WindMonitoring_BATS-BETS'!C98,IF($E99="Y2",'WindMonitoring_BATS-BETS'!C98+'Third_Line_MLTS-BATS'!C98,IF($E99="Y",Base!C95-Option3b!J99,IF($E99="N",0))))</f>
        <v>891.52000000000044</v>
      </c>
      <c r="D99" s="387">
        <f>IF($E99="Y1",'WindMonitoring_BATS-BETS'!D98,IF($E99="Y2",'WindMonitoring_BATS-BETS'!D98+'Third_Line_MLTS-BATS'!D98,IF($E99="Y",Base!D95-Option3b!K99,IF($E99="N",0))))</f>
        <v>601.22535999999855</v>
      </c>
      <c r="E99" s="221" t="str">
        <f t="shared" si="19"/>
        <v>Y</v>
      </c>
      <c r="F99" s="52">
        <f t="shared" si="20"/>
        <v>37245.911051999909</v>
      </c>
      <c r="H99" s="72" t="s">
        <v>71</v>
      </c>
      <c r="I99" s="40">
        <v>937.18000000000006</v>
      </c>
      <c r="J99" s="40">
        <v>12758.759999999998</v>
      </c>
      <c r="K99" s="40">
        <v>8916.2275200000004</v>
      </c>
      <c r="L99" s="40">
        <f t="shared" si="18"/>
        <v>552360.29486400005</v>
      </c>
    </row>
    <row r="100" spans="1:12" s="230" customFormat="1" x14ac:dyDescent="0.3">
      <c r="A100" s="72" t="s">
        <v>72</v>
      </c>
      <c r="B100" s="387">
        <f>IF($E100="Y1",'WindMonitoring_BATS-BETS'!B99,IF($E100="Y2",'WindMonitoring_BATS-BETS'!B99+'Third_Line_MLTS-BATS'!B99,IF($E100="Y",Base!B96-Option3b!I100,IF($E100="N",0))))</f>
        <v>105.34999999999968</v>
      </c>
      <c r="C100" s="387">
        <f>IF($E100="Y1",'WindMonitoring_BATS-BETS'!C99,IF($E100="Y2",'WindMonitoring_BATS-BETS'!C99+'Third_Line_MLTS-BATS'!C99,IF($E100="Y",Base!C96-Option3b!J100,IF($E100="N",0))))</f>
        <v>580.13000000000102</v>
      </c>
      <c r="D100" s="387">
        <f>IF($E100="Y1",'WindMonitoring_BATS-BETS'!D99,IF($E100="Y2",'WindMonitoring_BATS-BETS'!D99+'Third_Line_MLTS-BATS'!D99,IF($E100="Y",Base!D96-Option3b!K100,IF($E100="N",0))))</f>
        <v>384.17815999999948</v>
      </c>
      <c r="E100" s="221" t="str">
        <f t="shared" si="19"/>
        <v>Y</v>
      </c>
      <c r="F100" s="52">
        <f t="shared" si="20"/>
        <v>23799.837011999967</v>
      </c>
      <c r="H100" s="72" t="s">
        <v>72</v>
      </c>
      <c r="I100" s="40">
        <v>966.34000000000015</v>
      </c>
      <c r="J100" s="40">
        <v>14258.09</v>
      </c>
      <c r="K100" s="40">
        <v>9377.4387199999983</v>
      </c>
      <c r="L100" s="40">
        <f t="shared" si="18"/>
        <v>580932.32870399987</v>
      </c>
    </row>
    <row r="101" spans="1:12" s="230" customFormat="1" x14ac:dyDescent="0.3">
      <c r="A101" s="72" t="s">
        <v>73</v>
      </c>
      <c r="B101" s="387">
        <f>IF($E101="Y1",'WindMonitoring_BATS-BETS'!B100,IF($E101="Y2",'WindMonitoring_BATS-BETS'!B100+'Third_Line_MLTS-BATS'!B100,IF($E101="Y",Base!B97-Option3b!I101,IF($E101="N",0))))</f>
        <v>109.03999999999974</v>
      </c>
      <c r="C101" s="387">
        <f>IF($E101="Y1",'WindMonitoring_BATS-BETS'!C100,IF($E101="Y2",'WindMonitoring_BATS-BETS'!C100+'Third_Line_MLTS-BATS'!C100,IF($E101="Y",Base!C97-Option3b!J101,IF($E101="N",0))))</f>
        <v>480.68999999999505</v>
      </c>
      <c r="D101" s="387">
        <f>IF($E101="Y1",'WindMonitoring_BATS-BETS'!D100,IF($E101="Y2",'WindMonitoring_BATS-BETS'!D100+'Third_Line_MLTS-BATS'!D100,IF($E101="Y",Base!D97-Option3b!K101,IF($E101="N",0))))</f>
        <v>362.55095999999867</v>
      </c>
      <c r="E101" s="221" t="str">
        <f t="shared" si="19"/>
        <v>Y</v>
      </c>
      <c r="F101" s="52">
        <f t="shared" si="20"/>
        <v>22460.031971999917</v>
      </c>
      <c r="H101" s="72" t="s">
        <v>73</v>
      </c>
      <c r="I101" s="40">
        <v>1073.68</v>
      </c>
      <c r="J101" s="40">
        <v>16729.200000000004</v>
      </c>
      <c r="K101" s="40">
        <v>10335.486480000001</v>
      </c>
      <c r="L101" s="40">
        <f t="shared" si="18"/>
        <v>640283.38743600016</v>
      </c>
    </row>
    <row r="102" spans="1:12" s="230" customFormat="1" ht="15" thickBot="1" x14ac:dyDescent="0.35">
      <c r="E102" s="60">
        <f>SUM(COUNTIF(E92:E101,{"Y","Y1","Y2"}))</f>
        <v>8</v>
      </c>
      <c r="F102" s="62">
        <f>-PV($G$6,$G$7-E102,F101)</f>
        <v>213962.70038600502</v>
      </c>
      <c r="G102" s="55" t="s">
        <v>11</v>
      </c>
    </row>
    <row r="103" spans="1:12" ht="15" thickTop="1" x14ac:dyDescent="0.3"/>
    <row r="104" spans="1:12" x14ac:dyDescent="0.3">
      <c r="A104" s="363" t="s">
        <v>121</v>
      </c>
      <c r="B104" s="357"/>
      <c r="C104" s="357"/>
      <c r="D104" s="357"/>
      <c r="E104" s="357"/>
    </row>
    <row r="105" spans="1:12" x14ac:dyDescent="0.3">
      <c r="A105" s="408" t="s">
        <v>5</v>
      </c>
      <c r="B105" s="72" t="s">
        <v>3</v>
      </c>
      <c r="C105" s="344">
        <f>NPV_Summary!$F$35*Option1a!$G$5+Option1a!$G$5</f>
        <v>74.34</v>
      </c>
      <c r="D105" s="26">
        <f>NPV_Summary!$G$35*Option1a!$G$5+Option1a!$G$5</f>
        <v>49.56</v>
      </c>
      <c r="E105" s="357"/>
    </row>
    <row r="106" spans="1:12" ht="43.2" x14ac:dyDescent="0.3">
      <c r="A106" s="408"/>
      <c r="B106" s="51" t="s">
        <v>12</v>
      </c>
      <c r="C106" s="50" t="s">
        <v>25</v>
      </c>
      <c r="D106" s="50" t="s">
        <v>25</v>
      </c>
      <c r="E106" s="357"/>
    </row>
    <row r="107" spans="1:12" x14ac:dyDescent="0.3">
      <c r="A107" s="362" t="s">
        <v>64</v>
      </c>
      <c r="B107" s="3" t="str">
        <f>H17</f>
        <v>N</v>
      </c>
      <c r="C107" s="5">
        <f>IF(OR(B107="Y",B107="Y1",B107="Y2"),D17*$C$105/1000,0)</f>
        <v>0</v>
      </c>
      <c r="D107" s="5">
        <f>IF(OR(B107="Y",B107="Y1",B107="Y2"),D17*$D$105/1000,0)</f>
        <v>0</v>
      </c>
      <c r="E107" s="357"/>
    </row>
    <row r="108" spans="1:12" x14ac:dyDescent="0.3">
      <c r="A108" s="362" t="s">
        <v>65</v>
      </c>
      <c r="B108" s="3" t="str">
        <f t="shared" ref="B108:B116" si="21">H18</f>
        <v>N</v>
      </c>
      <c r="C108" s="5">
        <f t="shared" ref="C108:C116" si="22">IF(OR(B108="Y",B108="Y1",B108="Y2"),D18*$C$105/1000,0)</f>
        <v>0</v>
      </c>
      <c r="D108" s="5">
        <f t="shared" ref="D108:D116" si="23">IF(OR(B108="Y",B108="Y1",B108="Y2"),D18*$D$105/1000,0)</f>
        <v>0</v>
      </c>
      <c r="E108" s="357"/>
    </row>
    <row r="109" spans="1:12" x14ac:dyDescent="0.3">
      <c r="A109" s="362" t="s">
        <v>66</v>
      </c>
      <c r="B109" s="3" t="str">
        <f t="shared" si="21"/>
        <v>Y1</v>
      </c>
      <c r="C109" s="5">
        <f t="shared" si="22"/>
        <v>8.0252170991999883</v>
      </c>
      <c r="D109" s="5">
        <f t="shared" si="23"/>
        <v>5.3501447327999916</v>
      </c>
      <c r="E109" s="357"/>
    </row>
    <row r="110" spans="1:12" x14ac:dyDescent="0.3">
      <c r="A110" s="362" t="s">
        <v>67</v>
      </c>
      <c r="B110" s="3" t="str">
        <f t="shared" si="21"/>
        <v>Y1</v>
      </c>
      <c r="C110" s="5">
        <f t="shared" si="22"/>
        <v>11.671206341760033</v>
      </c>
      <c r="D110" s="5">
        <f t="shared" si="23"/>
        <v>7.7808042278400222</v>
      </c>
      <c r="E110" s="357"/>
    </row>
    <row r="111" spans="1:12" x14ac:dyDescent="0.3">
      <c r="A111" s="362" t="s">
        <v>68</v>
      </c>
      <c r="B111" s="3" t="str">
        <f t="shared" si="21"/>
        <v>Y2</v>
      </c>
      <c r="C111" s="5">
        <f t="shared" si="22"/>
        <v>46.936485892799929</v>
      </c>
      <c r="D111" s="5">
        <f t="shared" si="23"/>
        <v>31.290990595199954</v>
      </c>
      <c r="E111" s="357"/>
    </row>
    <row r="112" spans="1:12" x14ac:dyDescent="0.3">
      <c r="A112" s="362" t="s">
        <v>69</v>
      </c>
      <c r="B112" s="3" t="str">
        <f t="shared" si="21"/>
        <v>Y2</v>
      </c>
      <c r="C112" s="5">
        <f t="shared" si="22"/>
        <v>51.396332803199925</v>
      </c>
      <c r="D112" s="5">
        <f t="shared" si="23"/>
        <v>34.26422186879995</v>
      </c>
      <c r="E112" s="357"/>
    </row>
    <row r="113" spans="1:5" x14ac:dyDescent="0.3">
      <c r="A113" s="362" t="s">
        <v>70</v>
      </c>
      <c r="B113" s="3" t="str">
        <f t="shared" si="21"/>
        <v>Y</v>
      </c>
      <c r="C113" s="5">
        <f t="shared" si="22"/>
        <v>70.99050841343994</v>
      </c>
      <c r="D113" s="5">
        <f t="shared" si="23"/>
        <v>47.327005608959958</v>
      </c>
      <c r="E113" s="357"/>
    </row>
    <row r="114" spans="1:5" x14ac:dyDescent="0.3">
      <c r="A114" s="362" t="s">
        <v>71</v>
      </c>
      <c r="B114" s="3" t="str">
        <f t="shared" si="21"/>
        <v>Y</v>
      </c>
      <c r="C114" s="5">
        <f t="shared" si="22"/>
        <v>78.757440995519971</v>
      </c>
      <c r="D114" s="5">
        <f t="shared" si="23"/>
        <v>52.504960663679981</v>
      </c>
      <c r="E114" s="357"/>
    </row>
    <row r="115" spans="1:5" x14ac:dyDescent="0.3">
      <c r="A115" s="362" t="s">
        <v>72</v>
      </c>
      <c r="B115" s="3" t="str">
        <f t="shared" si="21"/>
        <v>Y</v>
      </c>
      <c r="C115" s="5">
        <f t="shared" si="22"/>
        <v>73.214367508799953</v>
      </c>
      <c r="D115" s="5">
        <f t="shared" si="23"/>
        <v>48.80957833919998</v>
      </c>
      <c r="E115" s="357"/>
    </row>
    <row r="116" spans="1:5" x14ac:dyDescent="0.3">
      <c r="A116" s="362" t="s">
        <v>73</v>
      </c>
      <c r="B116" s="3" t="str">
        <f t="shared" si="21"/>
        <v>Y</v>
      </c>
      <c r="C116" s="5">
        <f t="shared" si="22"/>
        <v>87.712915550400055</v>
      </c>
      <c r="D116" s="5">
        <f t="shared" si="23"/>
        <v>58.47527703360003</v>
      </c>
      <c r="E116" s="357"/>
    </row>
    <row r="117" spans="1:5" x14ac:dyDescent="0.3">
      <c r="A117" s="357"/>
      <c r="B117" s="39">
        <f>SUM(COUNTIF(B107:B116,{"Y","Y1","Y2"}))</f>
        <v>8</v>
      </c>
      <c r="C117" s="47">
        <f>-PV($G$6,$G$7-B117,C116)</f>
        <v>835.58617785093486</v>
      </c>
      <c r="D117" s="47">
        <f>-PV($G$6,$G$7-B117,D116)</f>
        <v>557.05745190062316</v>
      </c>
      <c r="E117" s="357" t="s">
        <v>11</v>
      </c>
    </row>
    <row r="118" spans="1:5" ht="15" thickBot="1" x14ac:dyDescent="0.35">
      <c r="A118" s="357"/>
      <c r="B118" s="357"/>
      <c r="C118" s="13">
        <f>NPV($G$6,C107:C115,C116+C117)</f>
        <v>532.34890191582974</v>
      </c>
      <c r="D118" s="13">
        <f>NPV($G$6,D107:D115,D116+D117)</f>
        <v>354.89926794388646</v>
      </c>
      <c r="E118" s="357" t="s">
        <v>23</v>
      </c>
    </row>
    <row r="119" spans="1:5" ht="15" thickTop="1" x14ac:dyDescent="0.3"/>
  </sheetData>
  <mergeCells count="12">
    <mergeCell ref="A105:A106"/>
    <mergeCell ref="A15:I15"/>
    <mergeCell ref="A34:F34"/>
    <mergeCell ref="H34:L34"/>
    <mergeCell ref="A48:F48"/>
    <mergeCell ref="H48:L48"/>
    <mergeCell ref="A62:F62"/>
    <mergeCell ref="H62:L62"/>
    <mergeCell ref="A76:F76"/>
    <mergeCell ref="H76:L76"/>
    <mergeCell ref="A90:F90"/>
    <mergeCell ref="H90:L90"/>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zoomScale="55" zoomScaleNormal="55" workbookViewId="0">
      <selection activeCell="C29" sqref="C29"/>
    </sheetView>
  </sheetViews>
  <sheetFormatPr defaultRowHeight="14.4" x14ac:dyDescent="0.3"/>
  <cols>
    <col min="1" max="1" width="38.77734375" style="239" customWidth="1"/>
    <col min="2" max="12" width="15.77734375" style="239" customWidth="1"/>
    <col min="13" max="17" width="10.77734375" style="239" customWidth="1"/>
    <col min="18" max="16384" width="8.88671875" style="239"/>
  </cols>
  <sheetData>
    <row r="1" spans="1:18" x14ac:dyDescent="0.3">
      <c r="A1" s="245" t="s">
        <v>92</v>
      </c>
    </row>
    <row r="2" spans="1:18" x14ac:dyDescent="0.3">
      <c r="A2" s="245" t="s">
        <v>90</v>
      </c>
    </row>
    <row r="3" spans="1:18" x14ac:dyDescent="0.3">
      <c r="A3" s="245" t="s">
        <v>95</v>
      </c>
    </row>
    <row r="5" spans="1:18" x14ac:dyDescent="0.3">
      <c r="A5" s="68" t="s">
        <v>31</v>
      </c>
      <c r="B5" s="69" t="s">
        <v>33</v>
      </c>
      <c r="C5" s="69" t="s">
        <v>34</v>
      </c>
      <c r="D5" s="69" t="s">
        <v>35</v>
      </c>
      <c r="F5" s="65" t="s">
        <v>3</v>
      </c>
      <c r="G5" s="246">
        <v>61.95</v>
      </c>
    </row>
    <row r="6" spans="1:18" x14ac:dyDescent="0.3">
      <c r="A6" s="251" t="s">
        <v>4</v>
      </c>
      <c r="B6" s="252">
        <v>27.8</v>
      </c>
      <c r="C6" s="252">
        <v>82.3</v>
      </c>
      <c r="D6" s="252"/>
      <c r="F6" s="66" t="s">
        <v>2</v>
      </c>
      <c r="G6" s="247">
        <v>0.1</v>
      </c>
    </row>
    <row r="7" spans="1:18" x14ac:dyDescent="0.3">
      <c r="A7" s="251" t="s">
        <v>36</v>
      </c>
      <c r="B7" s="253">
        <v>0.02</v>
      </c>
      <c r="C7" s="253">
        <v>0.02</v>
      </c>
      <c r="D7" s="253"/>
      <c r="F7" s="66" t="s">
        <v>1</v>
      </c>
      <c r="G7" s="248">
        <v>40</v>
      </c>
    </row>
    <row r="8" spans="1:18" x14ac:dyDescent="0.3">
      <c r="A8" s="251" t="s">
        <v>30</v>
      </c>
      <c r="B8" s="254">
        <f>-PV($G$6,$G$7,B6*B7)</f>
        <v>5.4371521994738794</v>
      </c>
      <c r="C8" s="32">
        <f>-PV($G$6,$G$7,C6*C7)</f>
        <v>16.096317482615117</v>
      </c>
      <c r="D8" s="32">
        <f>-PV($G$6,$G$7,D6*D7)</f>
        <v>0</v>
      </c>
      <c r="F8" s="66" t="s">
        <v>6</v>
      </c>
      <c r="G8" s="247">
        <v>0.2</v>
      </c>
    </row>
    <row r="9" spans="1:18" x14ac:dyDescent="0.3">
      <c r="A9" s="251" t="s">
        <v>32</v>
      </c>
      <c r="B9" s="254">
        <f>B6+B8</f>
        <v>33.237152199473883</v>
      </c>
      <c r="C9" s="32">
        <f>C6+C8</f>
        <v>98.396317482615117</v>
      </c>
      <c r="D9" s="32">
        <f>D6+D8</f>
        <v>0</v>
      </c>
      <c r="F9" s="66" t="s">
        <v>7</v>
      </c>
      <c r="G9" s="247">
        <v>0.2</v>
      </c>
    </row>
    <row r="10" spans="1:18" x14ac:dyDescent="0.3">
      <c r="A10" s="251" t="s">
        <v>15</v>
      </c>
      <c r="B10" s="254">
        <f>-PMT($G$6,$G$7,B9)</f>
        <v>3.3988117207194719</v>
      </c>
      <c r="C10" s="32">
        <f>-PMT($G$6,$G$7,C9)</f>
        <v>10.061949806302609</v>
      </c>
      <c r="D10" s="32">
        <f>-PMT($G$6,$G$7,D9)</f>
        <v>0</v>
      </c>
      <c r="F10" s="66" t="s">
        <v>8</v>
      </c>
      <c r="G10" s="247">
        <v>0.2</v>
      </c>
    </row>
    <row r="11" spans="1:18" x14ac:dyDescent="0.3">
      <c r="B11" s="250"/>
      <c r="C11" s="250"/>
      <c r="D11" s="250"/>
      <c r="F11" s="66" t="s">
        <v>9</v>
      </c>
      <c r="G11" s="247">
        <v>0.2</v>
      </c>
    </row>
    <row r="12" spans="1:18" x14ac:dyDescent="0.3">
      <c r="A12" s="243" t="s">
        <v>28</v>
      </c>
      <c r="B12" s="255">
        <f>SUM(B9:D9)</f>
        <v>131.63346968208901</v>
      </c>
      <c r="C12" s="250"/>
      <c r="D12" s="250"/>
      <c r="F12" s="67" t="s">
        <v>10</v>
      </c>
      <c r="G12" s="249">
        <v>0.2</v>
      </c>
    </row>
    <row r="13" spans="1:18" x14ac:dyDescent="0.3">
      <c r="A13" s="244" t="s">
        <v>29</v>
      </c>
      <c r="B13" s="256">
        <f>-PMT($G$6,$G$7,B12)</f>
        <v>13.460761527022084</v>
      </c>
      <c r="C13" s="250"/>
      <c r="D13" s="250"/>
    </row>
    <row r="15" spans="1:18" ht="15.6" x14ac:dyDescent="0.3">
      <c r="A15" s="397" t="s">
        <v>57</v>
      </c>
      <c r="B15" s="397"/>
      <c r="C15" s="397"/>
      <c r="D15" s="397"/>
      <c r="E15" s="397"/>
      <c r="F15" s="397"/>
      <c r="G15" s="397"/>
      <c r="H15" s="397"/>
      <c r="I15" s="397"/>
      <c r="M15" s="380"/>
      <c r="N15" s="380"/>
      <c r="O15" s="380"/>
      <c r="P15" s="380"/>
      <c r="Q15" s="380"/>
      <c r="R15" s="257"/>
    </row>
    <row r="16" spans="1:18" s="250" customFormat="1" ht="72" customHeight="1" x14ac:dyDescent="0.3">
      <c r="A16" s="40" t="s">
        <v>5</v>
      </c>
      <c r="B16" s="51" t="s">
        <v>151</v>
      </c>
      <c r="C16" s="51" t="s">
        <v>152</v>
      </c>
      <c r="D16" s="51" t="s">
        <v>153</v>
      </c>
      <c r="E16" s="50" t="s">
        <v>25</v>
      </c>
      <c r="F16" s="50" t="s">
        <v>15</v>
      </c>
      <c r="G16" s="51" t="s">
        <v>155</v>
      </c>
      <c r="H16" s="50" t="s">
        <v>12</v>
      </c>
      <c r="I16" s="50" t="s">
        <v>24</v>
      </c>
      <c r="J16" s="35"/>
      <c r="K16" s="35"/>
      <c r="M16" s="36"/>
      <c r="N16" s="37"/>
      <c r="O16" s="37"/>
      <c r="P16" s="37"/>
      <c r="Q16" s="38"/>
      <c r="R16" s="39"/>
    </row>
    <row r="17" spans="1:18" s="250" customFormat="1" x14ac:dyDescent="0.3">
      <c r="A17" s="72" t="s">
        <v>64</v>
      </c>
      <c r="B17" s="40">
        <f>MAX(B36,B50,B64,B78,B92)</f>
        <v>0</v>
      </c>
      <c r="C17" s="40">
        <f>MAX(C36,C50,C64,C78,C92)</f>
        <v>0</v>
      </c>
      <c r="D17" s="40">
        <f t="shared" ref="D17:D26" si="0">$G$8*D36+$G$9*D50+$G$10*D64+$G$11*D78+$G$12*D92</f>
        <v>0</v>
      </c>
      <c r="E17" s="41">
        <f t="shared" ref="E17:E26" si="1">D17*$G$5/1000</f>
        <v>0</v>
      </c>
      <c r="F17" s="41">
        <f>IF($H17="Y1",$B$10,IF($H17="Y2",$B$10+$C$10,IF($H17="Y",$B$13,IF($H17="N",0))))</f>
        <v>0</v>
      </c>
      <c r="G17" s="41">
        <f>E17-F17</f>
        <v>0</v>
      </c>
      <c r="H17" s="42" t="s">
        <v>14</v>
      </c>
      <c r="I17" s="41">
        <f>IF(OR(H17="Y",H17="Y1",H17="Y2"),E17,0)</f>
        <v>0</v>
      </c>
      <c r="J17" s="43"/>
      <c r="K17" s="43"/>
      <c r="M17" s="44"/>
      <c r="N17" s="45"/>
      <c r="O17" s="45"/>
      <c r="P17" s="45"/>
      <c r="Q17" s="33"/>
      <c r="R17" s="39"/>
    </row>
    <row r="18" spans="1:18" s="250" customFormat="1" x14ac:dyDescent="0.3">
      <c r="A18" s="72" t="s">
        <v>65</v>
      </c>
      <c r="B18" s="40">
        <f t="shared" ref="B18:C26" si="2">MAX(B37,B51,B65,B79,B93)</f>
        <v>0</v>
      </c>
      <c r="C18" s="40">
        <f t="shared" si="2"/>
        <v>0</v>
      </c>
      <c r="D18" s="40">
        <f t="shared" si="0"/>
        <v>0</v>
      </c>
      <c r="E18" s="41">
        <f t="shared" si="1"/>
        <v>0</v>
      </c>
      <c r="F18" s="41">
        <f t="shared" ref="F18:F26" si="3">IF($H18="Y1",$B$10,IF($H18="Y2",$B$10+$C$10,IF($H18="Y",$B$13,IF($H18="N",0))))</f>
        <v>0</v>
      </c>
      <c r="G18" s="41">
        <f t="shared" ref="G18:G26" si="4">E18-F18</f>
        <v>0</v>
      </c>
      <c r="H18" s="42" t="s">
        <v>14</v>
      </c>
      <c r="I18" s="41">
        <f t="shared" ref="I18:I26" si="5">IF(OR(H18="Y",H18="Y1",H18="Y2"),E18,0)</f>
        <v>0</v>
      </c>
      <c r="J18" s="43"/>
      <c r="K18" s="43"/>
      <c r="M18" s="44"/>
      <c r="N18" s="45"/>
      <c r="O18" s="45"/>
      <c r="P18" s="45"/>
      <c r="Q18" s="33"/>
      <c r="R18" s="39"/>
    </row>
    <row r="19" spans="1:18" s="250" customFormat="1" x14ac:dyDescent="0.3">
      <c r="A19" s="72" t="s">
        <v>66</v>
      </c>
      <c r="B19" s="40">
        <f t="shared" si="2"/>
        <v>0</v>
      </c>
      <c r="C19" s="40">
        <f t="shared" si="2"/>
        <v>0</v>
      </c>
      <c r="D19" s="40">
        <f t="shared" si="0"/>
        <v>0</v>
      </c>
      <c r="E19" s="41">
        <f t="shared" si="1"/>
        <v>0</v>
      </c>
      <c r="F19" s="41">
        <f t="shared" si="3"/>
        <v>0</v>
      </c>
      <c r="G19" s="41">
        <f t="shared" si="4"/>
        <v>0</v>
      </c>
      <c r="H19" s="42" t="s">
        <v>14</v>
      </c>
      <c r="I19" s="41">
        <f t="shared" si="5"/>
        <v>0</v>
      </c>
      <c r="J19" s="43"/>
      <c r="K19" s="43"/>
      <c r="M19" s="44"/>
      <c r="N19" s="45"/>
      <c r="O19" s="45"/>
      <c r="P19" s="45"/>
      <c r="Q19" s="33"/>
      <c r="R19" s="39"/>
    </row>
    <row r="20" spans="1:18" s="250" customFormat="1" x14ac:dyDescent="0.3">
      <c r="A20" s="72" t="s">
        <v>67</v>
      </c>
      <c r="B20" s="40">
        <f t="shared" si="2"/>
        <v>0</v>
      </c>
      <c r="C20" s="40">
        <f t="shared" si="2"/>
        <v>0</v>
      </c>
      <c r="D20" s="40">
        <f t="shared" si="0"/>
        <v>0</v>
      </c>
      <c r="E20" s="41">
        <f t="shared" si="1"/>
        <v>0</v>
      </c>
      <c r="F20" s="41">
        <f t="shared" si="3"/>
        <v>0</v>
      </c>
      <c r="G20" s="41">
        <f t="shared" si="4"/>
        <v>0</v>
      </c>
      <c r="H20" s="42" t="s">
        <v>14</v>
      </c>
      <c r="I20" s="41">
        <f t="shared" si="5"/>
        <v>0</v>
      </c>
      <c r="J20" s="43"/>
      <c r="K20" s="43"/>
      <c r="M20" s="44"/>
      <c r="N20" s="45"/>
      <c r="O20" s="45"/>
      <c r="P20" s="45"/>
      <c r="Q20" s="33"/>
      <c r="R20" s="39"/>
    </row>
    <row r="21" spans="1:18" s="250" customFormat="1" x14ac:dyDescent="0.3">
      <c r="A21" s="72" t="s">
        <v>68</v>
      </c>
      <c r="B21" s="40">
        <f t="shared" si="2"/>
        <v>294.98000000000025</v>
      </c>
      <c r="C21" s="40">
        <f t="shared" si="2"/>
        <v>1065.1399999999976</v>
      </c>
      <c r="D21" s="40">
        <f t="shared" si="0"/>
        <v>448.65561599999967</v>
      </c>
      <c r="E21" s="41">
        <f t="shared" si="1"/>
        <v>27.794215411199982</v>
      </c>
      <c r="F21" s="41">
        <f t="shared" si="3"/>
        <v>3.3988117207194719</v>
      </c>
      <c r="G21" s="41">
        <f t="shared" si="4"/>
        <v>24.39540369048051</v>
      </c>
      <c r="H21" s="42" t="s">
        <v>49</v>
      </c>
      <c r="I21" s="41">
        <f t="shared" si="5"/>
        <v>27.794215411199982</v>
      </c>
      <c r="J21" s="43"/>
      <c r="K21" s="43"/>
      <c r="M21" s="44"/>
      <c r="N21" s="45"/>
      <c r="O21" s="45"/>
      <c r="P21" s="45"/>
      <c r="Q21" s="33"/>
      <c r="R21" s="39"/>
    </row>
    <row r="22" spans="1:18" s="250" customFormat="1" x14ac:dyDescent="0.3">
      <c r="A22" s="72" t="s">
        <v>69</v>
      </c>
      <c r="B22" s="40">
        <f t="shared" si="2"/>
        <v>296.49999999999989</v>
      </c>
      <c r="C22" s="40">
        <f t="shared" si="2"/>
        <v>1239.25</v>
      </c>
      <c r="D22" s="40">
        <f t="shared" si="0"/>
        <v>454.6757599999994</v>
      </c>
      <c r="E22" s="41">
        <f t="shared" si="1"/>
        <v>28.167163331999962</v>
      </c>
      <c r="F22" s="41">
        <f t="shared" si="3"/>
        <v>3.3988117207194719</v>
      </c>
      <c r="G22" s="41">
        <f t="shared" si="4"/>
        <v>24.76835161128049</v>
      </c>
      <c r="H22" s="42" t="s">
        <v>49</v>
      </c>
      <c r="I22" s="41">
        <f t="shared" si="5"/>
        <v>28.167163331999962</v>
      </c>
      <c r="J22" s="43"/>
      <c r="K22" s="43"/>
      <c r="M22" s="44"/>
      <c r="N22" s="45"/>
      <c r="O22" s="45"/>
      <c r="P22" s="45"/>
      <c r="Q22" s="33"/>
      <c r="R22" s="39"/>
    </row>
    <row r="23" spans="1:18" s="250" customFormat="1" x14ac:dyDescent="0.3">
      <c r="A23" s="72" t="s">
        <v>70</v>
      </c>
      <c r="B23" s="40">
        <f t="shared" si="2"/>
        <v>302.52000000000021</v>
      </c>
      <c r="C23" s="40">
        <f t="shared" si="2"/>
        <v>2406.3899999999958</v>
      </c>
      <c r="D23" s="40">
        <f t="shared" si="0"/>
        <v>956.20947199999921</v>
      </c>
      <c r="E23" s="41">
        <f t="shared" si="1"/>
        <v>59.237176790399957</v>
      </c>
      <c r="F23" s="41">
        <f t="shared" si="3"/>
        <v>13.460761527022084</v>
      </c>
      <c r="G23" s="41">
        <f t="shared" si="4"/>
        <v>45.776415263377871</v>
      </c>
      <c r="H23" s="46" t="s">
        <v>13</v>
      </c>
      <c r="I23" s="41">
        <f t="shared" si="5"/>
        <v>59.237176790399957</v>
      </c>
      <c r="J23" s="43"/>
      <c r="K23" s="43"/>
      <c r="M23" s="44"/>
      <c r="N23" s="45"/>
      <c r="O23" s="45"/>
      <c r="P23" s="45"/>
      <c r="Q23" s="33"/>
      <c r="R23" s="39"/>
    </row>
    <row r="24" spans="1:18" s="250" customFormat="1" x14ac:dyDescent="0.3">
      <c r="A24" s="72" t="s">
        <v>71</v>
      </c>
      <c r="B24" s="40">
        <f t="shared" si="2"/>
        <v>341.38</v>
      </c>
      <c r="C24" s="40">
        <f t="shared" si="2"/>
        <v>2919.6299999999937</v>
      </c>
      <c r="D24" s="40">
        <f t="shared" si="0"/>
        <v>1060.7720159999997</v>
      </c>
      <c r="E24" s="41">
        <f t="shared" si="1"/>
        <v>65.714826391199978</v>
      </c>
      <c r="F24" s="41">
        <f t="shared" si="3"/>
        <v>13.460761527022084</v>
      </c>
      <c r="G24" s="41">
        <f t="shared" si="4"/>
        <v>52.254064864177892</v>
      </c>
      <c r="H24" s="46" t="s">
        <v>13</v>
      </c>
      <c r="I24" s="41">
        <f t="shared" si="5"/>
        <v>65.714826391199978</v>
      </c>
      <c r="J24" s="43"/>
      <c r="K24" s="43"/>
      <c r="M24" s="44"/>
      <c r="N24" s="45"/>
      <c r="O24" s="45"/>
      <c r="P24" s="45"/>
      <c r="Q24" s="33"/>
      <c r="R24" s="39"/>
    </row>
    <row r="25" spans="1:18" s="250" customFormat="1" x14ac:dyDescent="0.3">
      <c r="A25" s="72" t="s">
        <v>72</v>
      </c>
      <c r="B25" s="40">
        <f t="shared" si="2"/>
        <v>308.52999999999997</v>
      </c>
      <c r="C25" s="40">
        <f t="shared" si="2"/>
        <v>3237.0600000000031</v>
      </c>
      <c r="D25" s="40">
        <f t="shared" si="0"/>
        <v>984.45899199999917</v>
      </c>
      <c r="E25" s="41">
        <f t="shared" si="1"/>
        <v>60.987234554399954</v>
      </c>
      <c r="F25" s="41">
        <f t="shared" si="3"/>
        <v>13.460761527022084</v>
      </c>
      <c r="G25" s="41">
        <f t="shared" si="4"/>
        <v>47.526473027377868</v>
      </c>
      <c r="H25" s="46" t="s">
        <v>13</v>
      </c>
      <c r="I25" s="41">
        <f t="shared" si="5"/>
        <v>60.987234554399954</v>
      </c>
      <c r="J25" s="43"/>
      <c r="K25" s="43"/>
      <c r="M25" s="44"/>
      <c r="N25" s="45"/>
      <c r="O25" s="45"/>
      <c r="P25" s="45"/>
      <c r="Q25" s="33"/>
      <c r="R25" s="39"/>
    </row>
    <row r="26" spans="1:18" s="250" customFormat="1" x14ac:dyDescent="0.3">
      <c r="A26" s="72" t="s">
        <v>73</v>
      </c>
      <c r="B26" s="40">
        <f t="shared" si="2"/>
        <v>321.0200000000001</v>
      </c>
      <c r="C26" s="40">
        <f t="shared" si="2"/>
        <v>4408.4800000000032</v>
      </c>
      <c r="D26" s="40">
        <f t="shared" si="0"/>
        <v>1180.6036160000008</v>
      </c>
      <c r="E26" s="41">
        <f t="shared" si="1"/>
        <v>73.138394011200063</v>
      </c>
      <c r="F26" s="41">
        <f t="shared" si="3"/>
        <v>13.460761527022084</v>
      </c>
      <c r="G26" s="41">
        <f t="shared" si="4"/>
        <v>59.677632484177977</v>
      </c>
      <c r="H26" s="46" t="s">
        <v>13</v>
      </c>
      <c r="I26" s="41">
        <f t="shared" si="5"/>
        <v>73.138394011200063</v>
      </c>
      <c r="J26" s="43"/>
      <c r="K26" s="43"/>
      <c r="M26" s="44"/>
      <c r="N26" s="45"/>
      <c r="O26" s="45"/>
      <c r="P26" s="45"/>
      <c r="Q26" s="33"/>
      <c r="R26" s="39"/>
    </row>
    <row r="27" spans="1:18" s="250" customFormat="1" x14ac:dyDescent="0.3">
      <c r="G27" s="57"/>
      <c r="H27" s="39">
        <f>SUM(COUNTIF(H17:H26,{"Y","Y1","Y2"}))</f>
        <v>6</v>
      </c>
      <c r="I27" s="47">
        <f>-PV($G$6,$G$7-H27,I26)</f>
        <v>702.75573471924952</v>
      </c>
      <c r="J27" s="56" t="s">
        <v>11</v>
      </c>
      <c r="K27" s="47"/>
      <c r="L27" s="39"/>
      <c r="M27" s="39"/>
      <c r="Q27" s="45"/>
    </row>
    <row r="28" spans="1:18" s="351" customFormat="1" ht="15" thickBot="1" x14ac:dyDescent="0.35">
      <c r="G28" s="57"/>
      <c r="H28" s="39"/>
      <c r="I28" s="61">
        <f>NPV($G$6,I17:I25,I26+I27)</f>
        <v>419.2174556281945</v>
      </c>
      <c r="J28" s="56" t="s">
        <v>23</v>
      </c>
      <c r="K28" s="47"/>
      <c r="L28" s="39"/>
      <c r="M28" s="39"/>
      <c r="Q28" s="45"/>
    </row>
    <row r="29" spans="1:18" s="250" customFormat="1" ht="15" thickTop="1" x14ac:dyDescent="0.3">
      <c r="I29" s="47"/>
      <c r="J29" s="39"/>
      <c r="K29" s="47"/>
      <c r="L29" s="39"/>
      <c r="M29" s="39"/>
    </row>
    <row r="30" spans="1:18" s="250" customFormat="1" ht="43.2" x14ac:dyDescent="0.3">
      <c r="A30" s="34"/>
      <c r="B30" s="63" t="s">
        <v>16</v>
      </c>
      <c r="C30" s="63" t="s">
        <v>17</v>
      </c>
      <c r="D30" s="63" t="s">
        <v>18</v>
      </c>
      <c r="E30" s="63" t="s">
        <v>19</v>
      </c>
      <c r="F30" s="63" t="s">
        <v>20</v>
      </c>
      <c r="G30" s="63" t="s">
        <v>21</v>
      </c>
      <c r="H30" s="64" t="s">
        <v>28</v>
      </c>
      <c r="I30" s="64" t="s">
        <v>37</v>
      </c>
      <c r="K30" s="39"/>
      <c r="L30" s="39"/>
      <c r="M30" s="39"/>
    </row>
    <row r="31" spans="1:18" s="250" customFormat="1" x14ac:dyDescent="0.3">
      <c r="A31" s="242" t="s">
        <v>22</v>
      </c>
      <c r="B31" s="48">
        <f>NPV($G$6,F36:F44,F45+F46)/1000</f>
        <v>289.09612848406994</v>
      </c>
      <c r="C31" s="48">
        <f>NPV($G$6,F50:F58,F59+F60)/1000</f>
        <v>795.17122211166236</v>
      </c>
      <c r="D31" s="48">
        <f>NPV($G$6,F64:F72,F73+F74)/1000</f>
        <v>293.19166181459093</v>
      </c>
      <c r="E31" s="48">
        <f>NPV($G$6,F78:F86,F87+F88)/1000</f>
        <v>551.01498330604875</v>
      </c>
      <c r="F31" s="48">
        <f>NPV($G$6,F92:F100,F101+F102)/1000</f>
        <v>167.61328242460016</v>
      </c>
      <c r="G31" s="49">
        <f>B31*G8+C31*G9+D31*G10+E31*G11+F31*G12</f>
        <v>419.21745562819444</v>
      </c>
      <c r="H31" s="254">
        <f>B12</f>
        <v>131.63346968208901</v>
      </c>
      <c r="I31" s="48">
        <f>G31-H31</f>
        <v>287.58398594610543</v>
      </c>
    </row>
    <row r="32" spans="1:18" s="250" customFormat="1" x14ac:dyDescent="0.3">
      <c r="I32" s="258"/>
    </row>
    <row r="33" spans="1:14" s="250" customFormat="1" x14ac:dyDescent="0.3"/>
    <row r="34" spans="1:14" s="250" customFormat="1" ht="15.6" x14ac:dyDescent="0.3">
      <c r="A34" s="409" t="s">
        <v>52</v>
      </c>
      <c r="B34" s="410"/>
      <c r="C34" s="410"/>
      <c r="D34" s="410"/>
      <c r="E34" s="410"/>
      <c r="F34" s="411"/>
      <c r="H34" s="406" t="s">
        <v>59</v>
      </c>
      <c r="I34" s="406"/>
      <c r="J34" s="406"/>
      <c r="K34" s="406"/>
      <c r="L34" s="406"/>
    </row>
    <row r="35" spans="1:14" s="250" customFormat="1" ht="57.6" x14ac:dyDescent="0.3">
      <c r="A35" s="240" t="s">
        <v>5</v>
      </c>
      <c r="B35" s="51" t="s">
        <v>151</v>
      </c>
      <c r="C35" s="51" t="s">
        <v>152</v>
      </c>
      <c r="D35" s="51" t="s">
        <v>153</v>
      </c>
      <c r="E35" s="51" t="s">
        <v>12</v>
      </c>
      <c r="F35" s="51" t="s">
        <v>134</v>
      </c>
      <c r="H35" s="240" t="s">
        <v>5</v>
      </c>
      <c r="I35" s="51" t="s">
        <v>75</v>
      </c>
      <c r="J35" s="51" t="s">
        <v>51</v>
      </c>
      <c r="K35" s="50" t="s">
        <v>0</v>
      </c>
      <c r="L35" s="51" t="s">
        <v>58</v>
      </c>
    </row>
    <row r="36" spans="1:14" s="250" customFormat="1" x14ac:dyDescent="0.3">
      <c r="A36" s="72" t="s">
        <v>64</v>
      </c>
      <c r="B36" s="40">
        <f>IF($E36="Y1",'Third_Line_MLTS-BATS'!B35,IF($E36="Y",Base!B32-Option4a!I36,IF($E36="N",0)))</f>
        <v>0</v>
      </c>
      <c r="C36" s="385">
        <f>IF($E36="Y1",'Third_Line_MLTS-BATS'!C35,IF($E36="Y",Base!C32-Option4a!J36,IF($E36="N",0)))</f>
        <v>0</v>
      </c>
      <c r="D36" s="385">
        <f>IF($E36="Y1",'Third_Line_MLTS-BATS'!D35,IF($E36="Y",Base!D32-Option4a!K36,IF($E36="N",0)))</f>
        <v>0</v>
      </c>
      <c r="E36" s="241" t="str">
        <f t="shared" ref="E36:E45" si="6">H17</f>
        <v>N</v>
      </c>
      <c r="F36" s="52">
        <f>IF(OR(E36="Y",E36="Y1",E36="Y2"),D36*$G$5,)</f>
        <v>0</v>
      </c>
      <c r="H36" s="72" t="s">
        <v>64</v>
      </c>
      <c r="I36" s="40">
        <v>553.71</v>
      </c>
      <c r="J36" s="40">
        <v>8763.6</v>
      </c>
      <c r="K36" s="40">
        <v>7320.5135999999993</v>
      </c>
      <c r="L36" s="40">
        <f t="shared" ref="L36:L45" si="7">K36*$G$5</f>
        <v>453505.81751999998</v>
      </c>
      <c r="N36" s="53"/>
    </row>
    <row r="37" spans="1:14" s="250" customFormat="1" x14ac:dyDescent="0.3">
      <c r="A37" s="72" t="s">
        <v>65</v>
      </c>
      <c r="B37" s="385">
        <f>IF($E37="Y1",'Third_Line_MLTS-BATS'!B36,IF($E37="Y",Base!B33-Option4a!I37,IF($E37="N",0)))</f>
        <v>0</v>
      </c>
      <c r="C37" s="385">
        <f>IF($E37="Y1",'Third_Line_MLTS-BATS'!C36,IF($E37="Y",Base!C33-Option4a!J37,IF($E37="N",0)))</f>
        <v>0</v>
      </c>
      <c r="D37" s="385">
        <f>IF($E37="Y1",'Third_Line_MLTS-BATS'!D36,IF($E37="Y",Base!D33-Option4a!K37,IF($E37="N",0)))</f>
        <v>0</v>
      </c>
      <c r="E37" s="241" t="str">
        <f t="shared" si="6"/>
        <v>N</v>
      </c>
      <c r="F37" s="52">
        <f t="shared" ref="F37:F45" si="8">IF(OR(E37="Y",E37="Y1",E37="Y2"),D37*$G$5,)</f>
        <v>0</v>
      </c>
      <c r="H37" s="72" t="s">
        <v>65</v>
      </c>
      <c r="I37" s="40">
        <v>597.82000000000005</v>
      </c>
      <c r="J37" s="40">
        <v>8920.64</v>
      </c>
      <c r="K37" s="40">
        <v>7324.1899999999987</v>
      </c>
      <c r="L37" s="40">
        <f t="shared" si="7"/>
        <v>453733.57049999991</v>
      </c>
    </row>
    <row r="38" spans="1:14" s="250" customFormat="1" x14ac:dyDescent="0.3">
      <c r="A38" s="72" t="s">
        <v>66</v>
      </c>
      <c r="B38" s="385">
        <f>IF($E38="Y1",'Third_Line_MLTS-BATS'!B37,IF($E38="Y",Base!B34-Option4a!I38,IF($E38="N",0)))</f>
        <v>0</v>
      </c>
      <c r="C38" s="385">
        <f>IF($E38="Y1",'Third_Line_MLTS-BATS'!C37,IF($E38="Y",Base!C34-Option4a!J38,IF($E38="N",0)))</f>
        <v>0</v>
      </c>
      <c r="D38" s="385">
        <f>IF($E38="Y1",'Third_Line_MLTS-BATS'!D37,IF($E38="Y",Base!D34-Option4a!K38,IF($E38="N",0)))</f>
        <v>0</v>
      </c>
      <c r="E38" s="241" t="str">
        <f t="shared" si="6"/>
        <v>N</v>
      </c>
      <c r="F38" s="52">
        <f t="shared" si="8"/>
        <v>0</v>
      </c>
      <c r="H38" s="72" t="s">
        <v>66</v>
      </c>
      <c r="I38" s="40">
        <v>664.38</v>
      </c>
      <c r="J38" s="40">
        <v>9325.0300000000007</v>
      </c>
      <c r="K38" s="40">
        <v>7568.1867999999995</v>
      </c>
      <c r="L38" s="40">
        <f t="shared" si="7"/>
        <v>468849.17225999996</v>
      </c>
    </row>
    <row r="39" spans="1:14" s="250" customFormat="1" x14ac:dyDescent="0.3">
      <c r="A39" s="72" t="s">
        <v>67</v>
      </c>
      <c r="B39" s="385">
        <f>IF($E39="Y1",'Third_Line_MLTS-BATS'!B38,IF($E39="Y",Base!B35-Option4a!I39,IF($E39="N",0)))</f>
        <v>0</v>
      </c>
      <c r="C39" s="385">
        <f>IF($E39="Y1",'Third_Line_MLTS-BATS'!C38,IF($E39="Y",Base!C35-Option4a!J39,IF($E39="N",0)))</f>
        <v>0</v>
      </c>
      <c r="D39" s="385">
        <f>IF($E39="Y1",'Third_Line_MLTS-BATS'!D38,IF($E39="Y",Base!D35-Option4a!K39,IF($E39="N",0)))</f>
        <v>0</v>
      </c>
      <c r="E39" s="241" t="str">
        <f t="shared" si="6"/>
        <v>N</v>
      </c>
      <c r="F39" s="52">
        <f t="shared" si="8"/>
        <v>0</v>
      </c>
      <c r="H39" s="72" t="s">
        <v>67</v>
      </c>
      <c r="I39" s="40">
        <v>700.25</v>
      </c>
      <c r="J39" s="40">
        <v>9467.1</v>
      </c>
      <c r="K39" s="40">
        <v>7595.9457600000005</v>
      </c>
      <c r="L39" s="40">
        <f t="shared" si="7"/>
        <v>470568.83983200003</v>
      </c>
    </row>
    <row r="40" spans="1:14" s="250" customFormat="1" x14ac:dyDescent="0.3">
      <c r="A40" s="72" t="s">
        <v>68</v>
      </c>
      <c r="B40" s="385">
        <f>IF($E40="Y1",'Third_Line_MLTS-BATS'!B39,IF($E40="Y",Base!B36-Option4a!I40,IF($E40="N",0)))</f>
        <v>232.94000000000005</v>
      </c>
      <c r="C40" s="385">
        <f>IF($E40="Y1",'Third_Line_MLTS-BATS'!C39,IF($E40="Y",Base!C36-Option4a!J40,IF($E40="N",0)))</f>
        <v>457.28999999999905</v>
      </c>
      <c r="D40" s="385">
        <f>IF($E40="Y1",'Third_Line_MLTS-BATS'!D39,IF($E40="Y",Base!D36-Option4a!K40,IF($E40="N",0)))</f>
        <v>210.630079999999</v>
      </c>
      <c r="E40" s="241" t="str">
        <f t="shared" si="6"/>
        <v>Y1</v>
      </c>
      <c r="F40" s="52">
        <f t="shared" si="8"/>
        <v>13048.533455999939</v>
      </c>
      <c r="H40" s="72" t="s">
        <v>68</v>
      </c>
      <c r="I40" s="40">
        <v>800.55000000000007</v>
      </c>
      <c r="J40" s="40">
        <v>9808.02</v>
      </c>
      <c r="K40" s="40">
        <v>7708.8979200000012</v>
      </c>
      <c r="L40" s="40">
        <f t="shared" si="7"/>
        <v>477566.22614400007</v>
      </c>
    </row>
    <row r="41" spans="1:14" s="250" customFormat="1" x14ac:dyDescent="0.3">
      <c r="A41" s="72" t="s">
        <v>69</v>
      </c>
      <c r="B41" s="385">
        <f>IF($E41="Y1",'Third_Line_MLTS-BATS'!B40,IF($E41="Y",Base!B37-Option4a!I41,IF($E41="N",0)))</f>
        <v>193.81000000000017</v>
      </c>
      <c r="C41" s="385">
        <f>IF($E41="Y1",'Third_Line_MLTS-BATS'!C40,IF($E41="Y",Base!C37-Option4a!J41,IF($E41="N",0)))</f>
        <v>212.31999999999789</v>
      </c>
      <c r="D41" s="385">
        <f>IF($E41="Y1",'Third_Line_MLTS-BATS'!D40,IF($E41="Y",Base!D37-Option4a!K41,IF($E41="N",0)))</f>
        <v>121.93207999999868</v>
      </c>
      <c r="E41" s="241" t="str">
        <f t="shared" si="6"/>
        <v>Y1</v>
      </c>
      <c r="F41" s="52">
        <f t="shared" si="8"/>
        <v>7553.6923559999186</v>
      </c>
      <c r="H41" s="72" t="s">
        <v>69</v>
      </c>
      <c r="I41" s="40">
        <v>919.63</v>
      </c>
      <c r="J41" s="40">
        <v>10611.719999999998</v>
      </c>
      <c r="K41" s="40">
        <v>8133.9112799999984</v>
      </c>
      <c r="L41" s="40">
        <f t="shared" si="7"/>
        <v>503895.80379599991</v>
      </c>
    </row>
    <row r="42" spans="1:14" s="250" customFormat="1" x14ac:dyDescent="0.3">
      <c r="A42" s="72" t="s">
        <v>70</v>
      </c>
      <c r="B42" s="385">
        <f>IF($E42="Y1",'Third_Line_MLTS-BATS'!B41,IF($E42="Y",Base!B38-Option4a!I42,IF($E42="N",0)))</f>
        <v>205.01999999999998</v>
      </c>
      <c r="C42" s="385">
        <f>IF($E42="Y1",'Third_Line_MLTS-BATS'!C41,IF($E42="Y",Base!C38-Option4a!J42,IF($E42="N",0)))</f>
        <v>1310.4699999999993</v>
      </c>
      <c r="D42" s="385">
        <f>IF($E42="Y1",'Third_Line_MLTS-BATS'!D41,IF($E42="Y",Base!D38-Option4a!K42,IF($E42="N",0)))</f>
        <v>868.10632000000078</v>
      </c>
      <c r="E42" s="241" t="str">
        <f t="shared" si="6"/>
        <v>Y</v>
      </c>
      <c r="F42" s="52">
        <f t="shared" si="8"/>
        <v>53779.186524000048</v>
      </c>
      <c r="H42" s="72" t="s">
        <v>70</v>
      </c>
      <c r="I42" s="40">
        <v>1011.3299999999999</v>
      </c>
      <c r="J42" s="40">
        <v>11798.76</v>
      </c>
      <c r="K42" s="40">
        <v>8602.3451999999997</v>
      </c>
      <c r="L42" s="40">
        <f t="shared" si="7"/>
        <v>532915.28514000005</v>
      </c>
    </row>
    <row r="43" spans="1:14" s="250" customFormat="1" x14ac:dyDescent="0.3">
      <c r="A43" s="72" t="s">
        <v>71</v>
      </c>
      <c r="B43" s="385">
        <f>IF($E43="Y1",'Third_Line_MLTS-BATS'!B42,IF($E43="Y",Base!B39-Option4a!I43,IF($E43="N",0)))</f>
        <v>-33.569999999999936</v>
      </c>
      <c r="C43" s="385">
        <f>IF($E43="Y1",'Third_Line_MLTS-BATS'!C42,IF($E43="Y",Base!C39-Option4a!J43,IF($E43="N",0)))</f>
        <v>1446.8899999999994</v>
      </c>
      <c r="D43" s="385">
        <f>IF($E43="Y1",'Third_Line_MLTS-BATS'!D42,IF($E43="Y",Base!D39-Option4a!K43,IF($E43="N",0)))</f>
        <v>967.79839999999967</v>
      </c>
      <c r="E43" s="241" t="str">
        <f t="shared" si="6"/>
        <v>Y</v>
      </c>
      <c r="F43" s="52">
        <f t="shared" si="8"/>
        <v>59955.110879999986</v>
      </c>
      <c r="H43" s="72" t="s">
        <v>71</v>
      </c>
      <c r="I43" s="40">
        <v>1305.78</v>
      </c>
      <c r="J43" s="40">
        <v>13025.519999999999</v>
      </c>
      <c r="K43" s="40">
        <v>9037.022399999998</v>
      </c>
      <c r="L43" s="40">
        <f t="shared" si="7"/>
        <v>559843.53767999995</v>
      </c>
    </row>
    <row r="44" spans="1:14" s="250" customFormat="1" x14ac:dyDescent="0.3">
      <c r="A44" s="72" t="s">
        <v>72</v>
      </c>
      <c r="B44" s="385">
        <f>IF($E44="Y1",'Third_Line_MLTS-BATS'!B43,IF($E44="Y",Base!B40-Option4a!I44,IF($E44="N",0)))</f>
        <v>308.52999999999997</v>
      </c>
      <c r="C44" s="385">
        <f>IF($E44="Y1",'Third_Line_MLTS-BATS'!C43,IF($E44="Y",Base!C40-Option4a!J44,IF($E44="N",0)))</f>
        <v>1274.0199999999986</v>
      </c>
      <c r="D44" s="385">
        <f>IF($E44="Y1",'Third_Line_MLTS-BATS'!D43,IF($E44="Y",Base!D40-Option4a!K44,IF($E44="N",0)))</f>
        <v>788.39991999999984</v>
      </c>
      <c r="E44" s="241" t="str">
        <f t="shared" si="6"/>
        <v>Y</v>
      </c>
      <c r="F44" s="52">
        <f t="shared" si="8"/>
        <v>48841.375043999993</v>
      </c>
      <c r="H44" s="72" t="s">
        <v>72</v>
      </c>
      <c r="I44" s="40">
        <v>1000.4000000000001</v>
      </c>
      <c r="J44" s="40">
        <v>14327.25</v>
      </c>
      <c r="K44" s="40">
        <v>9476.97912</v>
      </c>
      <c r="L44" s="40">
        <f t="shared" si="7"/>
        <v>587098.85648399999</v>
      </c>
    </row>
    <row r="45" spans="1:14" s="250" customFormat="1" x14ac:dyDescent="0.3">
      <c r="A45" s="72" t="s">
        <v>73</v>
      </c>
      <c r="B45" s="385">
        <f>IF($E45="Y1",'Third_Line_MLTS-BATS'!B44,IF($E45="Y",Base!B41-Option4a!I45,IF($E45="N",0)))</f>
        <v>143.89999999999986</v>
      </c>
      <c r="C45" s="385">
        <f>IF($E45="Y1",'Third_Line_MLTS-BATS'!C44,IF($E45="Y",Base!C41-Option4a!J45,IF($E45="N",0)))</f>
        <v>1126.4800000000032</v>
      </c>
      <c r="D45" s="385">
        <f>IF($E45="Y1",'Third_Line_MLTS-BATS'!D44,IF($E45="Y",Base!D41-Option4a!K45,IF($E45="N",0)))</f>
        <v>791.105440000003</v>
      </c>
      <c r="E45" s="241" t="str">
        <f t="shared" si="6"/>
        <v>Y</v>
      </c>
      <c r="F45" s="52">
        <f t="shared" si="8"/>
        <v>49008.982008000188</v>
      </c>
      <c r="H45" s="72" t="s">
        <v>73</v>
      </c>
      <c r="I45" s="40">
        <v>1289.3799999999999</v>
      </c>
      <c r="J45" s="40">
        <v>16937.039999999997</v>
      </c>
      <c r="K45" s="40">
        <v>10505.805119999997</v>
      </c>
      <c r="L45" s="40">
        <f t="shared" si="7"/>
        <v>650834.62718399987</v>
      </c>
    </row>
    <row r="46" spans="1:14" s="250" customFormat="1" ht="15" thickBot="1" x14ac:dyDescent="0.35">
      <c r="E46" s="60">
        <f>SUM(COUNTIF(E36:E45,{"Y","Y1","Y2"}))</f>
        <v>6</v>
      </c>
      <c r="F46" s="62">
        <f>-PV($G$6,$G$7-E46,F45)</f>
        <v>470906.47292037169</v>
      </c>
      <c r="G46" s="55" t="s">
        <v>11</v>
      </c>
    </row>
    <row r="47" spans="1:14" s="250" customFormat="1" ht="15" thickTop="1" x14ac:dyDescent="0.3"/>
    <row r="48" spans="1:14" s="250" customFormat="1" ht="15.6" x14ac:dyDescent="0.3">
      <c r="A48" s="409" t="s">
        <v>56</v>
      </c>
      <c r="B48" s="410"/>
      <c r="C48" s="410"/>
      <c r="D48" s="410"/>
      <c r="E48" s="410"/>
      <c r="F48" s="411"/>
      <c r="H48" s="406" t="s">
        <v>60</v>
      </c>
      <c r="I48" s="406"/>
      <c r="J48" s="406"/>
      <c r="K48" s="406"/>
      <c r="L48" s="406"/>
    </row>
    <row r="49" spans="1:12" s="250" customFormat="1" ht="57.6" x14ac:dyDescent="0.3">
      <c r="A49" s="240" t="s">
        <v>5</v>
      </c>
      <c r="B49" s="51" t="s">
        <v>151</v>
      </c>
      <c r="C49" s="51" t="s">
        <v>152</v>
      </c>
      <c r="D49" s="51" t="s">
        <v>153</v>
      </c>
      <c r="E49" s="51" t="s">
        <v>12</v>
      </c>
      <c r="F49" s="51" t="s">
        <v>134</v>
      </c>
      <c r="H49" s="240" t="s">
        <v>5</v>
      </c>
      <c r="I49" s="51" t="s">
        <v>75</v>
      </c>
      <c r="J49" s="51" t="s">
        <v>51</v>
      </c>
      <c r="K49" s="50" t="s">
        <v>0</v>
      </c>
      <c r="L49" s="51" t="s">
        <v>58</v>
      </c>
    </row>
    <row r="50" spans="1:12" s="250" customFormat="1" x14ac:dyDescent="0.3">
      <c r="A50" s="72" t="s">
        <v>64</v>
      </c>
      <c r="B50" s="385">
        <f>IF($E50="Y1",'Third_Line_MLTS-BATS'!B49,IF($E50="Y",Base!B46-Option4a!I50,IF($E50="N",0)))</f>
        <v>0</v>
      </c>
      <c r="C50" s="385">
        <f>IF($E50="Y1",'Third_Line_MLTS-BATS'!C49,IF($E50="Y",Base!C46-Option4a!J50,IF($E50="N",0)))</f>
        <v>0</v>
      </c>
      <c r="D50" s="385">
        <f>IF($E50="Y1",'Third_Line_MLTS-BATS'!D49,IF($E50="Y",Base!D46-Option4a!K50,IF($E50="N",0)))</f>
        <v>0</v>
      </c>
      <c r="E50" s="241" t="str">
        <f>E36</f>
        <v>N</v>
      </c>
      <c r="F50" s="52">
        <f>IF(OR(E50="Y",E50="Y1",E50="Y2"),D50*$G$5,)</f>
        <v>0</v>
      </c>
      <c r="H50" s="72" t="s">
        <v>64</v>
      </c>
      <c r="I50" s="40">
        <v>553.71</v>
      </c>
      <c r="J50" s="40">
        <v>8763.6</v>
      </c>
      <c r="K50" s="40">
        <v>7320.5135999999993</v>
      </c>
      <c r="L50" s="40">
        <f t="shared" ref="L50:L59" si="9">K50*$G$5</f>
        <v>453505.81751999998</v>
      </c>
    </row>
    <row r="51" spans="1:12" s="250" customFormat="1" x14ac:dyDescent="0.3">
      <c r="A51" s="72" t="s">
        <v>65</v>
      </c>
      <c r="B51" s="385">
        <f>IF($E51="Y1",'Third_Line_MLTS-BATS'!B50,IF($E51="Y",Base!B47-Option4a!I51,IF($E51="N",0)))</f>
        <v>0</v>
      </c>
      <c r="C51" s="385">
        <f>IF($E51="Y1",'Third_Line_MLTS-BATS'!C50,IF($E51="Y",Base!C47-Option4a!J51,IF($E51="N",0)))</f>
        <v>0</v>
      </c>
      <c r="D51" s="385">
        <f>IF($E51="Y1",'Third_Line_MLTS-BATS'!D50,IF($E51="Y",Base!D47-Option4a!K51,IF($E51="N",0)))</f>
        <v>0</v>
      </c>
      <c r="E51" s="241" t="str">
        <f t="shared" ref="E51:E59" si="10">E37</f>
        <v>N</v>
      </c>
      <c r="F51" s="52">
        <f t="shared" ref="F51:F59" si="11">IF(OR(E51="Y",E51="Y1",E51="Y2"),D51*$G$5,)</f>
        <v>0</v>
      </c>
      <c r="H51" s="72" t="s">
        <v>65</v>
      </c>
      <c r="I51" s="40">
        <v>599.04999999999995</v>
      </c>
      <c r="J51" s="40">
        <v>8923.51</v>
      </c>
      <c r="K51" s="40">
        <v>7325.0624799999996</v>
      </c>
      <c r="L51" s="40">
        <f t="shared" si="9"/>
        <v>453787.62063600001</v>
      </c>
    </row>
    <row r="52" spans="1:12" s="250" customFormat="1" x14ac:dyDescent="0.3">
      <c r="A52" s="72" t="s">
        <v>66</v>
      </c>
      <c r="B52" s="385">
        <f>IF($E52="Y1",'Third_Line_MLTS-BATS'!B51,IF($E52="Y",Base!B48-Option4a!I52,IF($E52="N",0)))</f>
        <v>0</v>
      </c>
      <c r="C52" s="385">
        <f>IF($E52="Y1",'Third_Line_MLTS-BATS'!C51,IF($E52="Y",Base!C48-Option4a!J52,IF($E52="N",0)))</f>
        <v>0</v>
      </c>
      <c r="D52" s="385">
        <f>IF($E52="Y1",'Third_Line_MLTS-BATS'!D51,IF($E52="Y",Base!D48-Option4a!K52,IF($E52="N",0)))</f>
        <v>0</v>
      </c>
      <c r="E52" s="241" t="str">
        <f t="shared" si="10"/>
        <v>N</v>
      </c>
      <c r="F52" s="52">
        <f t="shared" si="11"/>
        <v>0</v>
      </c>
      <c r="H52" s="72" t="s">
        <v>66</v>
      </c>
      <c r="I52" s="40">
        <v>667.14</v>
      </c>
      <c r="J52" s="40">
        <v>9327.7900000000009</v>
      </c>
      <c r="K52" s="40">
        <v>7564.4391999999989</v>
      </c>
      <c r="L52" s="40">
        <f t="shared" si="9"/>
        <v>468617.00843999995</v>
      </c>
    </row>
    <row r="53" spans="1:12" s="250" customFormat="1" x14ac:dyDescent="0.3">
      <c r="A53" s="72" t="s">
        <v>67</v>
      </c>
      <c r="B53" s="385">
        <f>IF($E53="Y1",'Third_Line_MLTS-BATS'!B52,IF($E53="Y",Base!B49-Option4a!I53,IF($E53="N",0)))</f>
        <v>0</v>
      </c>
      <c r="C53" s="385">
        <f>IF($E53="Y1",'Third_Line_MLTS-BATS'!C52,IF($E53="Y",Base!C49-Option4a!J53,IF($E53="N",0)))</f>
        <v>0</v>
      </c>
      <c r="D53" s="385">
        <f>IF($E53="Y1",'Third_Line_MLTS-BATS'!D52,IF($E53="Y",Base!D49-Option4a!K53,IF($E53="N",0)))</f>
        <v>0</v>
      </c>
      <c r="E53" s="241" t="str">
        <f t="shared" si="10"/>
        <v>N</v>
      </c>
      <c r="F53" s="52">
        <f t="shared" si="11"/>
        <v>0</v>
      </c>
      <c r="H53" s="72" t="s">
        <v>67</v>
      </c>
      <c r="I53" s="40">
        <v>742.38</v>
      </c>
      <c r="J53" s="40">
        <v>9645.24</v>
      </c>
      <c r="K53" s="40">
        <v>7762.5252</v>
      </c>
      <c r="L53" s="40">
        <f t="shared" si="9"/>
        <v>480888.43614000001</v>
      </c>
    </row>
    <row r="54" spans="1:12" s="250" customFormat="1" x14ac:dyDescent="0.3">
      <c r="A54" s="72" t="s">
        <v>68</v>
      </c>
      <c r="B54" s="385">
        <f>IF($E54="Y1",'Third_Line_MLTS-BATS'!B53,IF($E54="Y",Base!B50-Option4a!I54,IF($E54="N",0)))</f>
        <v>54.610000000000127</v>
      </c>
      <c r="C54" s="385">
        <f>IF($E54="Y1",'Third_Line_MLTS-BATS'!C53,IF($E54="Y",Base!C50-Option4a!J54,IF($E54="N",0)))</f>
        <v>1065.1399999999976</v>
      </c>
      <c r="D54" s="385">
        <f>IF($E54="Y1",'Third_Line_MLTS-BATS'!D53,IF($E54="Y",Base!D50-Option4a!K54,IF($E54="N",0)))</f>
        <v>522.57319999999891</v>
      </c>
      <c r="E54" s="241" t="str">
        <f t="shared" si="10"/>
        <v>Y1</v>
      </c>
      <c r="F54" s="52">
        <f t="shared" si="11"/>
        <v>32373.409739999934</v>
      </c>
      <c r="H54" s="72" t="s">
        <v>68</v>
      </c>
      <c r="I54" s="40">
        <v>1050.24</v>
      </c>
      <c r="J54" s="40">
        <v>10327.139999999998</v>
      </c>
      <c r="K54" s="40">
        <v>8077.661039999999</v>
      </c>
      <c r="L54" s="40">
        <f t="shared" si="9"/>
        <v>500411.10142799997</v>
      </c>
    </row>
    <row r="55" spans="1:12" s="250" customFormat="1" x14ac:dyDescent="0.3">
      <c r="A55" s="72" t="s">
        <v>69</v>
      </c>
      <c r="B55" s="385">
        <f>IF($E55="Y1",'Third_Line_MLTS-BATS'!B54,IF($E55="Y",Base!B51-Option4a!I55,IF($E55="N",0)))</f>
        <v>233.08000000000015</v>
      </c>
      <c r="C55" s="385">
        <f>IF($E55="Y1",'Third_Line_MLTS-BATS'!C54,IF($E55="Y",Base!C51-Option4a!J55,IF($E55="N",0)))</f>
        <v>1239.25</v>
      </c>
      <c r="D55" s="385">
        <f>IF($E55="Y1",'Third_Line_MLTS-BATS'!D54,IF($E55="Y",Base!D51-Option4a!K55,IF($E55="N",0)))</f>
        <v>526.88703999999962</v>
      </c>
      <c r="E55" s="241" t="str">
        <f t="shared" si="10"/>
        <v>Y1</v>
      </c>
      <c r="F55" s="52">
        <f t="shared" si="11"/>
        <v>32640.652127999976</v>
      </c>
      <c r="H55" s="72" t="s">
        <v>69</v>
      </c>
      <c r="I55" s="40">
        <v>1082.21</v>
      </c>
      <c r="J55" s="40">
        <v>10863.48</v>
      </c>
      <c r="K55" s="40">
        <v>8414.5552800000005</v>
      </c>
      <c r="L55" s="40">
        <f t="shared" si="9"/>
        <v>521281.69959600008</v>
      </c>
    </row>
    <row r="56" spans="1:12" s="250" customFormat="1" x14ac:dyDescent="0.3">
      <c r="A56" s="72" t="s">
        <v>70</v>
      </c>
      <c r="B56" s="385">
        <f>IF($E56="Y1",'Third_Line_MLTS-BATS'!B55,IF($E56="Y",Base!B52-Option4a!I56,IF($E56="N",0)))</f>
        <v>112.00000000000023</v>
      </c>
      <c r="C56" s="385">
        <f>IF($E56="Y1",'Third_Line_MLTS-BATS'!C55,IF($E56="Y",Base!C52-Option4a!J56,IF($E56="N",0)))</f>
        <v>2406.3899999999958</v>
      </c>
      <c r="D56" s="385">
        <f>IF($E56="Y1",'Third_Line_MLTS-BATS'!D55,IF($E56="Y",Base!D52-Option4a!K56,IF($E56="N",0)))</f>
        <v>1519.6024799999977</v>
      </c>
      <c r="E56" s="241" t="str">
        <f t="shared" si="10"/>
        <v>Y</v>
      </c>
      <c r="F56" s="52">
        <f t="shared" si="11"/>
        <v>94139.373635999858</v>
      </c>
      <c r="H56" s="72" t="s">
        <v>70</v>
      </c>
      <c r="I56" s="40">
        <v>1291.7599999999998</v>
      </c>
      <c r="J56" s="40">
        <v>12271.58</v>
      </c>
      <c r="K56" s="40">
        <v>8874.9747200000002</v>
      </c>
      <c r="L56" s="40">
        <f t="shared" si="9"/>
        <v>549804.68390400009</v>
      </c>
    </row>
    <row r="57" spans="1:12" s="250" customFormat="1" x14ac:dyDescent="0.3">
      <c r="A57" s="72" t="s">
        <v>71</v>
      </c>
      <c r="B57" s="385">
        <f>IF($E57="Y1",'Third_Line_MLTS-BATS'!B56,IF($E57="Y",Base!B53-Option4a!I57,IF($E57="N",0)))</f>
        <v>-0.74000000000000909</v>
      </c>
      <c r="C57" s="385">
        <f>IF($E57="Y1",'Third_Line_MLTS-BATS'!C56,IF($E57="Y",Base!C53-Option4a!J57,IF($E57="N",0)))</f>
        <v>2919.6299999999937</v>
      </c>
      <c r="D57" s="385">
        <f>IF($E57="Y1",'Third_Line_MLTS-BATS'!D56,IF($E57="Y",Base!D53-Option4a!K57,IF($E57="N",0)))</f>
        <v>1747.8095999999969</v>
      </c>
      <c r="E57" s="241" t="str">
        <f t="shared" si="10"/>
        <v>Y</v>
      </c>
      <c r="F57" s="52">
        <f t="shared" si="11"/>
        <v>108276.80471999981</v>
      </c>
      <c r="H57" s="72" t="s">
        <v>71</v>
      </c>
      <c r="I57" s="40">
        <v>1442.25</v>
      </c>
      <c r="J57" s="40">
        <v>13597.750000000004</v>
      </c>
      <c r="K57" s="40">
        <v>9368.248480000002</v>
      </c>
      <c r="L57" s="40">
        <f t="shared" si="9"/>
        <v>580362.99333600013</v>
      </c>
    </row>
    <row r="58" spans="1:12" s="250" customFormat="1" x14ac:dyDescent="0.3">
      <c r="A58" s="72" t="s">
        <v>72</v>
      </c>
      <c r="B58" s="385">
        <f>IF($E58="Y1",'Third_Line_MLTS-BATS'!B57,IF($E58="Y",Base!B54-Option4a!I58,IF($E58="N",0)))</f>
        <v>-95.039999999999964</v>
      </c>
      <c r="C58" s="385">
        <f>IF($E58="Y1",'Third_Line_MLTS-BATS'!C57,IF($E58="Y",Base!C54-Option4a!J58,IF($E58="N",0)))</f>
        <v>3237.0600000000031</v>
      </c>
      <c r="D58" s="385">
        <f>IF($E58="Y1",'Third_Line_MLTS-BATS'!D57,IF($E58="Y",Base!D54-Option4a!K58,IF($E58="N",0)))</f>
        <v>1837.1952000000001</v>
      </c>
      <c r="E58" s="241" t="str">
        <f t="shared" si="10"/>
        <v>Y</v>
      </c>
      <c r="F58" s="52">
        <f t="shared" si="11"/>
        <v>113814.24264000001</v>
      </c>
      <c r="H58" s="72" t="s">
        <v>72</v>
      </c>
      <c r="I58" s="40">
        <v>1760.94</v>
      </c>
      <c r="J58" s="40">
        <v>15928.17</v>
      </c>
      <c r="K58" s="40">
        <v>10477.007519999999</v>
      </c>
      <c r="L58" s="40">
        <f t="shared" si="9"/>
        <v>649050.61586399993</v>
      </c>
    </row>
    <row r="59" spans="1:12" s="250" customFormat="1" x14ac:dyDescent="0.3">
      <c r="A59" s="72" t="s">
        <v>73</v>
      </c>
      <c r="B59" s="385">
        <f>IF($E59="Y1",'Third_Line_MLTS-BATS'!B58,IF($E59="Y",Base!B55-Option4a!I59,IF($E59="N",0)))</f>
        <v>52.8900000000001</v>
      </c>
      <c r="C59" s="385">
        <f>IF($E59="Y1",'Third_Line_MLTS-BATS'!C58,IF($E59="Y",Base!C55-Option4a!J59,IF($E59="N",0)))</f>
        <v>4408.4800000000032</v>
      </c>
      <c r="D59" s="385">
        <f>IF($E59="Y1",'Third_Line_MLTS-BATS'!D58,IF($E59="Y",Base!D55-Option4a!K59,IF($E59="N",0)))</f>
        <v>2405.7052000000003</v>
      </c>
      <c r="E59" s="241" t="str">
        <f t="shared" si="10"/>
        <v>Y</v>
      </c>
      <c r="F59" s="52">
        <f t="shared" si="11"/>
        <v>149033.43714000002</v>
      </c>
      <c r="H59" s="72" t="s">
        <v>73</v>
      </c>
      <c r="I59" s="40">
        <v>1896.9399999999998</v>
      </c>
      <c r="J59" s="40">
        <v>18748.559999999998</v>
      </c>
      <c r="K59" s="40">
        <v>11586.62256</v>
      </c>
      <c r="L59" s="40">
        <f t="shared" si="9"/>
        <v>717791.26759200008</v>
      </c>
    </row>
    <row r="60" spans="1:12" s="250" customFormat="1" ht="15" thickBot="1" x14ac:dyDescent="0.35">
      <c r="E60" s="60">
        <f>SUM(COUNTIF(E50:E59,{"Y","Y1","Y2"}))</f>
        <v>6</v>
      </c>
      <c r="F60" s="62">
        <f>-PV($G$6,$G$7-E60,F59)</f>
        <v>1431998.9388749409</v>
      </c>
      <c r="G60" s="55" t="s">
        <v>11</v>
      </c>
    </row>
    <row r="61" spans="1:12" s="250" customFormat="1" ht="15" thickTop="1" x14ac:dyDescent="0.3"/>
    <row r="62" spans="1:12" s="250" customFormat="1" ht="15.6" x14ac:dyDescent="0.3">
      <c r="A62" s="409" t="s">
        <v>55</v>
      </c>
      <c r="B62" s="410"/>
      <c r="C62" s="410"/>
      <c r="D62" s="410"/>
      <c r="E62" s="410"/>
      <c r="F62" s="411"/>
      <c r="H62" s="406" t="s">
        <v>61</v>
      </c>
      <c r="I62" s="406"/>
      <c r="J62" s="406"/>
      <c r="K62" s="406"/>
      <c r="L62" s="406"/>
    </row>
    <row r="63" spans="1:12" s="250" customFormat="1" ht="57.6" x14ac:dyDescent="0.3">
      <c r="A63" s="240" t="s">
        <v>5</v>
      </c>
      <c r="B63" s="51" t="s">
        <v>151</v>
      </c>
      <c r="C63" s="51" t="s">
        <v>152</v>
      </c>
      <c r="D63" s="51" t="s">
        <v>153</v>
      </c>
      <c r="E63" s="51" t="s">
        <v>12</v>
      </c>
      <c r="F63" s="51" t="s">
        <v>134</v>
      </c>
      <c r="H63" s="240" t="s">
        <v>5</v>
      </c>
      <c r="I63" s="51" t="s">
        <v>75</v>
      </c>
      <c r="J63" s="51" t="s">
        <v>51</v>
      </c>
      <c r="K63" s="50" t="s">
        <v>0</v>
      </c>
      <c r="L63" s="51" t="s">
        <v>58</v>
      </c>
    </row>
    <row r="64" spans="1:12" s="250" customFormat="1" x14ac:dyDescent="0.3">
      <c r="A64" s="72" t="s">
        <v>64</v>
      </c>
      <c r="B64" s="385">
        <f>IF($E64="Y1",'Third_Line_MLTS-BATS'!B63,IF($E64="Y",Base!B60-Option4a!I64,IF($E64="N",0)))</f>
        <v>0</v>
      </c>
      <c r="C64" s="385">
        <f>IF($E64="Y1",'Third_Line_MLTS-BATS'!C63,IF($E64="Y",Base!C60-Option4a!J64,IF($E64="N",0)))</f>
        <v>0</v>
      </c>
      <c r="D64" s="385">
        <f>IF($E64="Y1",'Third_Line_MLTS-BATS'!D63,IF($E64="Y",Base!D60-Option4a!K64,IF($E64="N",0)))</f>
        <v>0</v>
      </c>
      <c r="E64" s="241" t="str">
        <f>E36</f>
        <v>N</v>
      </c>
      <c r="F64" s="52">
        <f>IF(OR(E64="Y",E64="Y1",E64="Y2"),D64*$G$5,)</f>
        <v>0</v>
      </c>
      <c r="H64" s="72" t="s">
        <v>64</v>
      </c>
      <c r="I64" s="40">
        <v>523.2299999999999</v>
      </c>
      <c r="J64" s="40">
        <v>8617.9499999999989</v>
      </c>
      <c r="K64" s="40">
        <v>7210.8119999999999</v>
      </c>
      <c r="L64" s="40">
        <f t="shared" ref="L64:L73" si="12">K64*$G$5</f>
        <v>446709.80340000003</v>
      </c>
    </row>
    <row r="65" spans="1:15" s="250" customFormat="1" x14ac:dyDescent="0.3">
      <c r="A65" s="72" t="s">
        <v>65</v>
      </c>
      <c r="B65" s="385">
        <f>IF($E65="Y1",'Third_Line_MLTS-BATS'!B64,IF($E65="Y",Base!B61-Option4a!I65,IF($E65="N",0)))</f>
        <v>0</v>
      </c>
      <c r="C65" s="385">
        <f>IF($E65="Y1",'Third_Line_MLTS-BATS'!C64,IF($E65="Y",Base!C61-Option4a!J65,IF($E65="N",0)))</f>
        <v>0</v>
      </c>
      <c r="D65" s="385">
        <f>IF($E65="Y1",'Third_Line_MLTS-BATS'!D64,IF($E65="Y",Base!D61-Option4a!K65,IF($E65="N",0)))</f>
        <v>0</v>
      </c>
      <c r="E65" s="241" t="str">
        <f t="shared" ref="E65:E73" si="13">E37</f>
        <v>N</v>
      </c>
      <c r="F65" s="52">
        <f t="shared" ref="F65:F73" si="14">IF(OR(E65="Y",E65="Y1",E65="Y2"),D65*$G$5,)</f>
        <v>0</v>
      </c>
      <c r="H65" s="72" t="s">
        <v>65</v>
      </c>
      <c r="I65" s="40">
        <v>546.63999999999987</v>
      </c>
      <c r="J65" s="40">
        <v>8755.1299999999992</v>
      </c>
      <c r="K65" s="40">
        <v>7262.8155199999992</v>
      </c>
      <c r="L65" s="40">
        <f t="shared" si="12"/>
        <v>449931.42146399996</v>
      </c>
    </row>
    <row r="66" spans="1:15" s="250" customFormat="1" x14ac:dyDescent="0.3">
      <c r="A66" s="72" t="s">
        <v>66</v>
      </c>
      <c r="B66" s="385">
        <f>IF($E66="Y1",'Third_Line_MLTS-BATS'!B65,IF($E66="Y",Base!B62-Option4a!I66,IF($E66="N",0)))</f>
        <v>0</v>
      </c>
      <c r="C66" s="385">
        <f>IF($E66="Y1",'Third_Line_MLTS-BATS'!C65,IF($E66="Y",Base!C62-Option4a!J66,IF($E66="N",0)))</f>
        <v>0</v>
      </c>
      <c r="D66" s="385">
        <f>IF($E66="Y1",'Third_Line_MLTS-BATS'!D65,IF($E66="Y",Base!D62-Option4a!K66,IF($E66="N",0)))</f>
        <v>0</v>
      </c>
      <c r="E66" s="241" t="str">
        <f t="shared" si="13"/>
        <v>N</v>
      </c>
      <c r="F66" s="52">
        <f t="shared" si="14"/>
        <v>0</v>
      </c>
      <c r="H66" s="72" t="s">
        <v>66</v>
      </c>
      <c r="I66" s="40">
        <v>566.91</v>
      </c>
      <c r="J66" s="40">
        <v>8864.5600000000013</v>
      </c>
      <c r="K66" s="40">
        <v>7329.6572800000004</v>
      </c>
      <c r="L66" s="40">
        <f t="shared" si="12"/>
        <v>454072.26849600003</v>
      </c>
    </row>
    <row r="67" spans="1:15" s="250" customFormat="1" x14ac:dyDescent="0.3">
      <c r="A67" s="72" t="s">
        <v>67</v>
      </c>
      <c r="B67" s="385">
        <f>IF($E67="Y1",'Third_Line_MLTS-BATS'!B66,IF($E67="Y",Base!B63-Option4a!I67,IF($E67="N",0)))</f>
        <v>0</v>
      </c>
      <c r="C67" s="385">
        <f>IF($E67="Y1",'Third_Line_MLTS-BATS'!C66,IF($E67="Y",Base!C63-Option4a!J67,IF($E67="N",0)))</f>
        <v>0</v>
      </c>
      <c r="D67" s="385">
        <f>IF($E67="Y1",'Third_Line_MLTS-BATS'!D66,IF($E67="Y",Base!D63-Option4a!K67,IF($E67="N",0)))</f>
        <v>0</v>
      </c>
      <c r="E67" s="241" t="str">
        <f t="shared" si="13"/>
        <v>N</v>
      </c>
      <c r="F67" s="52">
        <f t="shared" si="14"/>
        <v>0</v>
      </c>
      <c r="H67" s="72" t="s">
        <v>67</v>
      </c>
      <c r="I67" s="40">
        <v>573.49</v>
      </c>
      <c r="J67" s="40">
        <v>8918.43</v>
      </c>
      <c r="K67" s="40">
        <v>7345.0245600000007</v>
      </c>
      <c r="L67" s="40">
        <f t="shared" si="12"/>
        <v>455024.27149200009</v>
      </c>
    </row>
    <row r="68" spans="1:15" s="250" customFormat="1" x14ac:dyDescent="0.3">
      <c r="A68" s="72" t="s">
        <v>68</v>
      </c>
      <c r="B68" s="385">
        <f>IF($E68="Y1",'Third_Line_MLTS-BATS'!B67,IF($E68="Y",Base!B64-Option4a!I68,IF($E68="N",0)))</f>
        <v>294.98000000000025</v>
      </c>
      <c r="C68" s="385">
        <f>IF($E68="Y1",'Third_Line_MLTS-BATS'!C67,IF($E68="Y",Base!C64-Option4a!J68,IF($E68="N",0)))</f>
        <v>970.65000000000146</v>
      </c>
      <c r="D68" s="385">
        <f>IF($E68="Y1",'Third_Line_MLTS-BATS'!D67,IF($E68="Y",Base!D64-Option4a!K68,IF($E68="N",0)))</f>
        <v>701.24231999999938</v>
      </c>
      <c r="E68" s="241" t="str">
        <f t="shared" si="13"/>
        <v>Y1</v>
      </c>
      <c r="F68" s="52">
        <f t="shared" si="14"/>
        <v>43441.961723999964</v>
      </c>
      <c r="H68" s="72" t="s">
        <v>68</v>
      </c>
      <c r="I68" s="40">
        <v>649.99999999999989</v>
      </c>
      <c r="J68" s="40">
        <v>9142.6799999999985</v>
      </c>
      <c r="K68" s="40">
        <v>7449.8131199999989</v>
      </c>
      <c r="L68" s="40">
        <f t="shared" si="12"/>
        <v>461515.92278399994</v>
      </c>
    </row>
    <row r="69" spans="1:15" s="250" customFormat="1" x14ac:dyDescent="0.3">
      <c r="A69" s="72" t="s">
        <v>69</v>
      </c>
      <c r="B69" s="385">
        <f>IF($E69="Y1",'Third_Line_MLTS-BATS'!B68,IF($E69="Y",Base!B65-Option4a!I69,IF($E69="N",0)))</f>
        <v>296.49999999999989</v>
      </c>
      <c r="C69" s="385">
        <f>IF($E69="Y1",'Third_Line_MLTS-BATS'!C68,IF($E69="Y",Base!C65-Option4a!J69,IF($E69="N",0)))</f>
        <v>1025.25</v>
      </c>
      <c r="D69" s="385">
        <f>IF($E69="Y1",'Third_Line_MLTS-BATS'!D68,IF($E69="Y",Base!D65-Option4a!K69,IF($E69="N",0)))</f>
        <v>782.86103999999796</v>
      </c>
      <c r="E69" s="241" t="str">
        <f t="shared" si="13"/>
        <v>Y1</v>
      </c>
      <c r="F69" s="52">
        <f t="shared" si="14"/>
        <v>48498.241427999877</v>
      </c>
      <c r="H69" s="72" t="s">
        <v>69</v>
      </c>
      <c r="I69" s="40">
        <v>728.45000000000016</v>
      </c>
      <c r="J69" s="40">
        <v>9502.24</v>
      </c>
      <c r="K69" s="40">
        <v>7665.8370399999994</v>
      </c>
      <c r="L69" s="40">
        <f t="shared" si="12"/>
        <v>474898.604628</v>
      </c>
    </row>
    <row r="70" spans="1:15" s="250" customFormat="1" x14ac:dyDescent="0.3">
      <c r="A70" s="72" t="s">
        <v>70</v>
      </c>
      <c r="B70" s="385">
        <f>IF($E70="Y1",'Third_Line_MLTS-BATS'!B69,IF($E70="Y",Base!B66-Option4a!I70,IF($E70="N",0)))</f>
        <v>302.52000000000021</v>
      </c>
      <c r="C70" s="385">
        <f>IF($E70="Y1",'Third_Line_MLTS-BATS'!C69,IF($E70="Y",Base!C66-Option4a!J70,IF($E70="N",0)))</f>
        <v>1165.4300000000003</v>
      </c>
      <c r="D70" s="385">
        <f>IF($E70="Y1",'Third_Line_MLTS-BATS'!D69,IF($E70="Y",Base!D66-Option4a!K70,IF($E70="N",0)))</f>
        <v>705.1930399999992</v>
      </c>
      <c r="E70" s="241" t="str">
        <f t="shared" si="13"/>
        <v>Y</v>
      </c>
      <c r="F70" s="52">
        <f t="shared" si="14"/>
        <v>43686.708827999952</v>
      </c>
      <c r="H70" s="72" t="s">
        <v>70</v>
      </c>
      <c r="I70" s="40">
        <v>765.04</v>
      </c>
      <c r="J70" s="40">
        <v>9879.31</v>
      </c>
      <c r="K70" s="40">
        <v>7825.7411199999997</v>
      </c>
      <c r="L70" s="40">
        <f t="shared" si="12"/>
        <v>484804.66238400002</v>
      </c>
    </row>
    <row r="71" spans="1:15" s="250" customFormat="1" x14ac:dyDescent="0.3">
      <c r="A71" s="72" t="s">
        <v>71</v>
      </c>
      <c r="B71" s="385">
        <f>IF($E71="Y1",'Third_Line_MLTS-BATS'!B70,IF($E71="Y",Base!B67-Option4a!I71,IF($E71="N",0)))</f>
        <v>253.81999999999994</v>
      </c>
      <c r="C71" s="385">
        <f>IF($E71="Y1",'Third_Line_MLTS-BATS'!C70,IF($E71="Y",Base!C67-Option4a!J71,IF($E71="N",0)))</f>
        <v>1175.9700000000012</v>
      </c>
      <c r="D71" s="385">
        <f>IF($E71="Y1",'Third_Line_MLTS-BATS'!D70,IF($E71="Y",Base!D67-Option4a!K71,IF($E71="N",0)))</f>
        <v>720.16655999999966</v>
      </c>
      <c r="E71" s="241" t="str">
        <f t="shared" si="13"/>
        <v>Y</v>
      </c>
      <c r="F71" s="52">
        <f t="shared" si="14"/>
        <v>44614.318391999979</v>
      </c>
      <c r="H71" s="72" t="s">
        <v>71</v>
      </c>
      <c r="I71" s="40">
        <v>845.3</v>
      </c>
      <c r="J71" s="40">
        <v>10358.64</v>
      </c>
      <c r="K71" s="40">
        <v>8043.9806399999998</v>
      </c>
      <c r="L71" s="40">
        <f t="shared" si="12"/>
        <v>498324.60064800002</v>
      </c>
    </row>
    <row r="72" spans="1:15" s="250" customFormat="1" x14ac:dyDescent="0.3">
      <c r="A72" s="72" t="s">
        <v>72</v>
      </c>
      <c r="B72" s="385">
        <f>IF($E72="Y1",'Third_Line_MLTS-BATS'!B71,IF($E72="Y",Base!B68-Option4a!I72,IF($E72="N",0)))</f>
        <v>306.04000000000008</v>
      </c>
      <c r="C72" s="385">
        <f>IF($E72="Y1",'Third_Line_MLTS-BATS'!C71,IF($E72="Y",Base!C68-Option4a!J72,IF($E72="N",0)))</f>
        <v>974.15999999999804</v>
      </c>
      <c r="D72" s="385">
        <f>IF($E72="Y1",'Third_Line_MLTS-BATS'!D71,IF($E72="Y",Base!D68-Option4a!K72,IF($E72="N",0)))</f>
        <v>598.25735999999779</v>
      </c>
      <c r="E72" s="241" t="str">
        <f t="shared" si="13"/>
        <v>Y</v>
      </c>
      <c r="F72" s="52">
        <f t="shared" si="14"/>
        <v>37062.043451999867</v>
      </c>
      <c r="H72" s="72" t="s">
        <v>72</v>
      </c>
      <c r="I72" s="40">
        <v>737.04000000000008</v>
      </c>
      <c r="J72" s="40">
        <v>10516.68</v>
      </c>
      <c r="K72" s="40">
        <v>7968.6936000000005</v>
      </c>
      <c r="L72" s="40">
        <f t="shared" si="12"/>
        <v>493660.56852000003</v>
      </c>
    </row>
    <row r="73" spans="1:15" s="250" customFormat="1" x14ac:dyDescent="0.3">
      <c r="A73" s="72" t="s">
        <v>73</v>
      </c>
      <c r="B73" s="385">
        <f>IF($E73="Y1",'Third_Line_MLTS-BATS'!B72,IF($E73="Y",Base!B69-Option4a!I73,IF($E73="N",0)))</f>
        <v>321.0200000000001</v>
      </c>
      <c r="C73" s="385">
        <f>IF($E73="Y1",'Third_Line_MLTS-BATS'!C72,IF($E73="Y",Base!C69-Option4a!J73,IF($E73="N",0)))</f>
        <v>1182.5499999999975</v>
      </c>
      <c r="D73" s="385">
        <f>IF($E73="Y1",'Third_Line_MLTS-BATS'!D72,IF($E73="Y",Base!D69-Option4a!K73,IF($E73="N",0)))</f>
        <v>709.97296000000097</v>
      </c>
      <c r="E73" s="241" t="str">
        <f t="shared" si="13"/>
        <v>Y</v>
      </c>
      <c r="F73" s="52">
        <f t="shared" si="14"/>
        <v>43982.824872000063</v>
      </c>
      <c r="H73" s="72" t="s">
        <v>73</v>
      </c>
      <c r="I73" s="40">
        <v>763.1</v>
      </c>
      <c r="J73" s="40">
        <v>11319.980000000001</v>
      </c>
      <c r="K73" s="40">
        <v>8228.2157599999991</v>
      </c>
      <c r="L73" s="40">
        <f t="shared" si="12"/>
        <v>509737.96633199998</v>
      </c>
    </row>
    <row r="74" spans="1:15" s="250" customFormat="1" ht="15" thickBot="1" x14ac:dyDescent="0.35">
      <c r="E74" s="60">
        <f>SUM(COUNTIF(E64:E73,{"Y","Y1","Y2"}))</f>
        <v>6</v>
      </c>
      <c r="F74" s="62">
        <f>-PV($G$6,$G$7-E74,F73)</f>
        <v>422612.26577134308</v>
      </c>
      <c r="G74" s="55" t="s">
        <v>11</v>
      </c>
    </row>
    <row r="75" spans="1:15" s="250" customFormat="1" ht="15" thickTop="1" x14ac:dyDescent="0.3"/>
    <row r="76" spans="1:15" s="250" customFormat="1" ht="15.6" x14ac:dyDescent="0.3">
      <c r="A76" s="409" t="s">
        <v>54</v>
      </c>
      <c r="B76" s="410"/>
      <c r="C76" s="410"/>
      <c r="D76" s="410"/>
      <c r="E76" s="410"/>
      <c r="F76" s="411"/>
      <c r="H76" s="406" t="s">
        <v>62</v>
      </c>
      <c r="I76" s="406"/>
      <c r="J76" s="406"/>
      <c r="K76" s="406"/>
      <c r="L76" s="406"/>
    </row>
    <row r="77" spans="1:15" s="250" customFormat="1" ht="57.6" x14ac:dyDescent="0.3">
      <c r="A77" s="240" t="s">
        <v>5</v>
      </c>
      <c r="B77" s="51" t="s">
        <v>151</v>
      </c>
      <c r="C77" s="51" t="s">
        <v>152</v>
      </c>
      <c r="D77" s="51" t="s">
        <v>153</v>
      </c>
      <c r="E77" s="51" t="s">
        <v>12</v>
      </c>
      <c r="F77" s="51" t="s">
        <v>134</v>
      </c>
      <c r="H77" s="240" t="s">
        <v>5</v>
      </c>
      <c r="I77" s="51" t="s">
        <v>75</v>
      </c>
      <c r="J77" s="51" t="s">
        <v>51</v>
      </c>
      <c r="K77" s="50" t="s">
        <v>0</v>
      </c>
      <c r="L77" s="51" t="s">
        <v>58</v>
      </c>
    </row>
    <row r="78" spans="1:15" s="250" customFormat="1" x14ac:dyDescent="0.3">
      <c r="A78" s="72" t="s">
        <v>64</v>
      </c>
      <c r="B78" s="385">
        <f>IF($E78="Y1",'Third_Line_MLTS-BATS'!B77,IF($E78="Y",Base!B74-Option4a!I78,IF($E78="N",0)))</f>
        <v>0</v>
      </c>
      <c r="C78" s="385">
        <f>IF($E78="Y1",'Third_Line_MLTS-BATS'!C77,IF($E78="Y",Base!C74-Option4a!J78,IF($E78="N",0)))</f>
        <v>0</v>
      </c>
      <c r="D78" s="385">
        <f>IF($E78="Y1",'Third_Line_MLTS-BATS'!D77,IF($E78="Y",Base!D74-Option4a!K78,IF($E78="N",0)))</f>
        <v>0</v>
      </c>
      <c r="E78" s="241" t="str">
        <f>E36</f>
        <v>N</v>
      </c>
      <c r="F78" s="52">
        <f>IF(OR(E78="Y",E78="Y1",E78="Y2"),D78*$G$5,)</f>
        <v>0</v>
      </c>
      <c r="H78" s="72" t="s">
        <v>64</v>
      </c>
      <c r="I78" s="40">
        <v>523.2299999999999</v>
      </c>
      <c r="J78" s="40">
        <v>8617.9499999999989</v>
      </c>
      <c r="K78" s="40">
        <v>7210.8119999999999</v>
      </c>
      <c r="L78" s="40">
        <f t="shared" ref="L78:L87" si="15">K78*$G$5</f>
        <v>446709.80340000003</v>
      </c>
    </row>
    <row r="79" spans="1:15" s="250" customFormat="1" x14ac:dyDescent="0.3">
      <c r="A79" s="72" t="s">
        <v>65</v>
      </c>
      <c r="B79" s="385">
        <f>IF($E79="Y1",'Third_Line_MLTS-BATS'!B78,IF($E79="Y",Base!B75-Option4a!I79,IF($E79="N",0)))</f>
        <v>0</v>
      </c>
      <c r="C79" s="385">
        <f>IF($E79="Y1",'Third_Line_MLTS-BATS'!C78,IF($E79="Y",Base!C75-Option4a!J79,IF($E79="N",0)))</f>
        <v>0</v>
      </c>
      <c r="D79" s="385">
        <f>IF($E79="Y1",'Third_Line_MLTS-BATS'!D78,IF($E79="Y",Base!D75-Option4a!K79,IF($E79="N",0)))</f>
        <v>0</v>
      </c>
      <c r="E79" s="241" t="str">
        <f t="shared" ref="E79:E87" si="16">E37</f>
        <v>N</v>
      </c>
      <c r="F79" s="52">
        <f t="shared" ref="F79:F87" si="17">IF(OR(E79="Y",E79="Y1",E79="Y2"),D79*$G$5,)</f>
        <v>0</v>
      </c>
      <c r="H79" s="72" t="s">
        <v>65</v>
      </c>
      <c r="I79" s="40">
        <v>546.63999999999987</v>
      </c>
      <c r="J79" s="40">
        <v>8754.81</v>
      </c>
      <c r="K79" s="40">
        <v>7262.3075999999992</v>
      </c>
      <c r="L79" s="40">
        <f t="shared" si="15"/>
        <v>449899.95581999997</v>
      </c>
    </row>
    <row r="80" spans="1:15" s="250" customFormat="1" x14ac:dyDescent="0.3">
      <c r="A80" s="72" t="s">
        <v>66</v>
      </c>
      <c r="B80" s="385">
        <f>IF($E80="Y1",'Third_Line_MLTS-BATS'!B79,IF($E80="Y",Base!B76-Option4a!I80,IF($E80="N",0)))</f>
        <v>0</v>
      </c>
      <c r="C80" s="385">
        <f>IF($E80="Y1",'Third_Line_MLTS-BATS'!C79,IF($E80="Y",Base!C76-Option4a!J80,IF($E80="N",0)))</f>
        <v>0</v>
      </c>
      <c r="D80" s="385">
        <f>IF($E80="Y1",'Third_Line_MLTS-BATS'!D79,IF($E80="Y",Base!D76-Option4a!K80,IF($E80="N",0)))</f>
        <v>0</v>
      </c>
      <c r="E80" s="241" t="str">
        <f t="shared" si="16"/>
        <v>N</v>
      </c>
      <c r="F80" s="52">
        <f t="shared" si="17"/>
        <v>0</v>
      </c>
      <c r="H80" s="72" t="s">
        <v>66</v>
      </c>
      <c r="I80" s="40">
        <v>566.91</v>
      </c>
      <c r="J80" s="40">
        <v>8864.08</v>
      </c>
      <c r="K80" s="40">
        <v>7329.5113600000004</v>
      </c>
      <c r="L80" s="40">
        <f t="shared" si="15"/>
        <v>454063.22875200002</v>
      </c>
      <c r="N80" s="39"/>
      <c r="O80" s="39"/>
    </row>
    <row r="81" spans="1:15" s="250" customFormat="1" x14ac:dyDescent="0.3">
      <c r="A81" s="72" t="s">
        <v>67</v>
      </c>
      <c r="B81" s="385">
        <f>IF($E81="Y1",'Third_Line_MLTS-BATS'!B80,IF($E81="Y",Base!B77-Option4a!I81,IF($E81="N",0)))</f>
        <v>0</v>
      </c>
      <c r="C81" s="385">
        <f>IF($E81="Y1",'Third_Line_MLTS-BATS'!C80,IF($E81="Y",Base!C77-Option4a!J81,IF($E81="N",0)))</f>
        <v>0</v>
      </c>
      <c r="D81" s="385">
        <f>IF($E81="Y1",'Third_Line_MLTS-BATS'!D80,IF($E81="Y",Base!D77-Option4a!K81,IF($E81="N",0)))</f>
        <v>0</v>
      </c>
      <c r="E81" s="241" t="str">
        <f t="shared" si="16"/>
        <v>N</v>
      </c>
      <c r="F81" s="52">
        <f t="shared" si="17"/>
        <v>0</v>
      </c>
      <c r="H81" s="72" t="s">
        <v>67</v>
      </c>
      <c r="I81" s="40">
        <v>609.04</v>
      </c>
      <c r="J81" s="40">
        <v>9050.4000000000015</v>
      </c>
      <c r="K81" s="40">
        <v>7473.0899999999992</v>
      </c>
      <c r="L81" s="40">
        <f t="shared" si="15"/>
        <v>462957.92549999995</v>
      </c>
      <c r="N81" s="45"/>
      <c r="O81" s="54"/>
    </row>
    <row r="82" spans="1:15" s="250" customFormat="1" x14ac:dyDescent="0.3">
      <c r="A82" s="72" t="s">
        <v>68</v>
      </c>
      <c r="B82" s="385">
        <f>IF($E82="Y1",'Third_Line_MLTS-BATS'!B81,IF($E82="Y",Base!B78-Option4a!I82,IF($E82="N",0)))</f>
        <v>52.060000000000059</v>
      </c>
      <c r="C82" s="385">
        <f>IF($E82="Y1",'Third_Line_MLTS-BATS'!C81,IF($E82="Y",Base!C78-Option4a!J82,IF($E82="N",0)))</f>
        <v>802.76000000000386</v>
      </c>
      <c r="D82" s="385">
        <f>IF($E82="Y1",'Third_Line_MLTS-BATS'!D81,IF($E82="Y",Base!D78-Option4a!K82,IF($E82="N",0)))</f>
        <v>433.51112000000103</v>
      </c>
      <c r="E82" s="241" t="str">
        <f t="shared" si="16"/>
        <v>Y1</v>
      </c>
      <c r="F82" s="52">
        <f t="shared" si="17"/>
        <v>26856.013884000065</v>
      </c>
      <c r="H82" s="72" t="s">
        <v>68</v>
      </c>
      <c r="I82" s="40">
        <v>911.06000000000006</v>
      </c>
      <c r="J82" s="40">
        <v>9576.4599999999991</v>
      </c>
      <c r="K82" s="40">
        <v>7711.5697600000003</v>
      </c>
      <c r="L82" s="40">
        <f t="shared" si="15"/>
        <v>477731.74663200002</v>
      </c>
      <c r="N82" s="45"/>
      <c r="O82" s="54"/>
    </row>
    <row r="83" spans="1:15" s="250" customFormat="1" x14ac:dyDescent="0.3">
      <c r="A83" s="72" t="s">
        <v>69</v>
      </c>
      <c r="B83" s="385">
        <f>IF($E83="Y1",'Third_Line_MLTS-BATS'!B82,IF($E83="Y",Base!B79-Option4a!I83,IF($E83="N",0)))</f>
        <v>164.80000000000007</v>
      </c>
      <c r="C83" s="385">
        <f>IF($E83="Y1",'Third_Line_MLTS-BATS'!C82,IF($E83="Y",Base!C79-Option4a!J83,IF($E83="N",0)))</f>
        <v>776.59000000000196</v>
      </c>
      <c r="D83" s="385">
        <f>IF($E83="Y1",'Third_Line_MLTS-BATS'!D82,IF($E83="Y",Base!D79-Option4a!K83,IF($E83="N",0)))</f>
        <v>361.48168000000078</v>
      </c>
      <c r="E83" s="241" t="str">
        <f t="shared" si="16"/>
        <v>Y1</v>
      </c>
      <c r="F83" s="52">
        <f t="shared" si="17"/>
        <v>22393.790076000048</v>
      </c>
      <c r="H83" s="72" t="s">
        <v>69</v>
      </c>
      <c r="I83" s="40">
        <v>995.0100000000001</v>
      </c>
      <c r="J83" s="40">
        <v>10000.049999999999</v>
      </c>
      <c r="K83" s="40">
        <v>7982.5895999999993</v>
      </c>
      <c r="L83" s="40">
        <f t="shared" si="15"/>
        <v>494521.42572</v>
      </c>
      <c r="N83" s="39"/>
      <c r="O83" s="39"/>
    </row>
    <row r="84" spans="1:15" s="250" customFormat="1" x14ac:dyDescent="0.3">
      <c r="A84" s="72" t="s">
        <v>70</v>
      </c>
      <c r="B84" s="385">
        <f>IF($E84="Y1",'Third_Line_MLTS-BATS'!B83,IF($E84="Y",Base!B80-Option4a!I84,IF($E84="N",0)))</f>
        <v>164.12</v>
      </c>
      <c r="C84" s="385">
        <f>IF($E84="Y1",'Third_Line_MLTS-BATS'!C83,IF($E84="Y",Base!C80-Option4a!J84,IF($E84="N",0)))</f>
        <v>1889.3999999999978</v>
      </c>
      <c r="D84" s="385">
        <f>IF($E84="Y1",'Third_Line_MLTS-BATS'!D83,IF($E84="Y",Base!D80-Option4a!K84,IF($E84="N",0)))</f>
        <v>1159.0523999999987</v>
      </c>
      <c r="E84" s="241" t="str">
        <f t="shared" si="16"/>
        <v>Y</v>
      </c>
      <c r="F84" s="52">
        <f t="shared" si="17"/>
        <v>71803.296179999918</v>
      </c>
      <c r="H84" s="72" t="s">
        <v>70</v>
      </c>
      <c r="I84" s="40">
        <v>960.52999999999986</v>
      </c>
      <c r="J84" s="40">
        <v>10209.14</v>
      </c>
      <c r="K84" s="40">
        <v>8061.6737599999997</v>
      </c>
      <c r="L84" s="40">
        <f t="shared" si="15"/>
        <v>499420.68943199998</v>
      </c>
      <c r="N84" s="39"/>
      <c r="O84" s="39"/>
    </row>
    <row r="85" spans="1:15" s="250" customFormat="1" x14ac:dyDescent="0.3">
      <c r="A85" s="72" t="s">
        <v>71</v>
      </c>
      <c r="B85" s="385">
        <f>IF($E85="Y1",'Third_Line_MLTS-BATS'!B84,IF($E85="Y",Base!B81-Option4a!I85,IF($E85="N",0)))</f>
        <v>341.38</v>
      </c>
      <c r="C85" s="385">
        <f>IF($E85="Y1",'Third_Line_MLTS-BATS'!C84,IF($E85="Y",Base!C81-Option4a!J85,IF($E85="N",0)))</f>
        <v>2100.3000000000029</v>
      </c>
      <c r="D85" s="385">
        <f>IF($E85="Y1",'Third_Line_MLTS-BATS'!D84,IF($E85="Y",Base!D81-Option4a!K85,IF($E85="N",0)))</f>
        <v>1263.3182400000023</v>
      </c>
      <c r="E85" s="241" t="str">
        <f t="shared" si="16"/>
        <v>Y</v>
      </c>
      <c r="F85" s="52">
        <f t="shared" si="17"/>
        <v>78262.564968000152</v>
      </c>
      <c r="H85" s="72" t="s">
        <v>71</v>
      </c>
      <c r="I85" s="40">
        <v>961.6</v>
      </c>
      <c r="J85" s="40">
        <v>10621.77</v>
      </c>
      <c r="K85" s="40">
        <v>8229.0055199999988</v>
      </c>
      <c r="L85" s="40">
        <f t="shared" si="15"/>
        <v>509786.89196399995</v>
      </c>
      <c r="N85" s="39"/>
      <c r="O85" s="39"/>
    </row>
    <row r="86" spans="1:15" s="250" customFormat="1" x14ac:dyDescent="0.3">
      <c r="A86" s="72" t="s">
        <v>72</v>
      </c>
      <c r="B86" s="385">
        <f>IF($E86="Y1",'Third_Line_MLTS-BATS'!B85,IF($E86="Y",Base!B82-Option4a!I86,IF($E86="N",0)))</f>
        <v>131.94000000000028</v>
      </c>
      <c r="C86" s="385">
        <f>IF($E86="Y1",'Third_Line_MLTS-BATS'!C85,IF($E86="Y",Base!C82-Option4a!J86,IF($E86="N",0)))</f>
        <v>2098.8299999999981</v>
      </c>
      <c r="D86" s="385">
        <f>IF($E86="Y1",'Third_Line_MLTS-BATS'!D85,IF($E86="Y",Base!D82-Option4a!K86,IF($E86="N",0)))</f>
        <v>1312.8511199999994</v>
      </c>
      <c r="E86" s="241" t="str">
        <f t="shared" si="16"/>
        <v>Y</v>
      </c>
      <c r="F86" s="52">
        <f t="shared" si="17"/>
        <v>81331.126883999968</v>
      </c>
      <c r="H86" s="72" t="s">
        <v>72</v>
      </c>
      <c r="I86" s="40">
        <v>1078.53</v>
      </c>
      <c r="J86" s="40">
        <v>11218.800000000001</v>
      </c>
      <c r="K86" s="40">
        <v>8483.1232799999998</v>
      </c>
      <c r="L86" s="40">
        <f t="shared" si="15"/>
        <v>525529.48719600006</v>
      </c>
    </row>
    <row r="87" spans="1:15" s="250" customFormat="1" x14ac:dyDescent="0.3">
      <c r="A87" s="72" t="s">
        <v>73</v>
      </c>
      <c r="B87" s="385">
        <f>IF($E87="Y1",'Third_Line_MLTS-BATS'!B86,IF($E87="Y",Base!B83-Option4a!I87,IF($E87="N",0)))</f>
        <v>144.51999999999975</v>
      </c>
      <c r="C87" s="385">
        <f>IF($E87="Y1",'Third_Line_MLTS-BATS'!C86,IF($E87="Y",Base!C83-Option4a!J87,IF($E87="N",0)))</f>
        <v>2595.4499999999971</v>
      </c>
      <c r="D87" s="385">
        <f>IF($E87="Y1",'Third_Line_MLTS-BATS'!D86,IF($E87="Y",Base!D83-Option4a!K87,IF($E87="N",0)))</f>
        <v>1633.3204799999985</v>
      </c>
      <c r="E87" s="241" t="str">
        <f t="shared" si="16"/>
        <v>Y</v>
      </c>
      <c r="F87" s="52">
        <f t="shared" si="17"/>
        <v>101184.20373599991</v>
      </c>
      <c r="H87" s="72" t="s">
        <v>73</v>
      </c>
      <c r="I87" s="40">
        <v>1259.2</v>
      </c>
      <c r="J87" s="40">
        <v>12344.86</v>
      </c>
      <c r="K87" s="40">
        <v>8869.3909600000006</v>
      </c>
      <c r="L87" s="40">
        <f t="shared" si="15"/>
        <v>549458.76997200004</v>
      </c>
    </row>
    <row r="88" spans="1:15" s="250" customFormat="1" ht="15" thickBot="1" x14ac:dyDescent="0.35">
      <c r="E88" s="60">
        <f>SUM(COUNTIF(E78:E87,{"Y","Y1","Y2"}))</f>
        <v>6</v>
      </c>
      <c r="F88" s="62">
        <f>-PV($G$6,$G$7-E88,F87)</f>
        <v>972235.99724634027</v>
      </c>
      <c r="G88" s="55" t="s">
        <v>11</v>
      </c>
    </row>
    <row r="89" spans="1:15" s="250" customFormat="1" ht="15" thickTop="1" x14ac:dyDescent="0.3"/>
    <row r="90" spans="1:15" s="250" customFormat="1" ht="15.6" x14ac:dyDescent="0.3">
      <c r="A90" s="409" t="s">
        <v>53</v>
      </c>
      <c r="B90" s="410"/>
      <c r="C90" s="410"/>
      <c r="D90" s="410"/>
      <c r="E90" s="410"/>
      <c r="F90" s="411"/>
      <c r="H90" s="406" t="s">
        <v>63</v>
      </c>
      <c r="I90" s="406"/>
      <c r="J90" s="406"/>
      <c r="K90" s="406"/>
      <c r="L90" s="406"/>
    </row>
    <row r="91" spans="1:15" s="250" customFormat="1" ht="57.6" x14ac:dyDescent="0.3">
      <c r="A91" s="240" t="s">
        <v>5</v>
      </c>
      <c r="B91" s="51" t="s">
        <v>151</v>
      </c>
      <c r="C91" s="51" t="s">
        <v>152</v>
      </c>
      <c r="D91" s="51" t="s">
        <v>153</v>
      </c>
      <c r="E91" s="51" t="s">
        <v>12</v>
      </c>
      <c r="F91" s="51" t="s">
        <v>134</v>
      </c>
      <c r="H91" s="240" t="s">
        <v>5</v>
      </c>
      <c r="I91" s="51" t="s">
        <v>75</v>
      </c>
      <c r="J91" s="51" t="s">
        <v>51</v>
      </c>
      <c r="K91" s="50" t="s">
        <v>0</v>
      </c>
      <c r="L91" s="51" t="s">
        <v>58</v>
      </c>
    </row>
    <row r="92" spans="1:15" s="250" customFormat="1" x14ac:dyDescent="0.3">
      <c r="A92" s="72" t="s">
        <v>64</v>
      </c>
      <c r="B92" s="385">
        <f>IF($E92="Y1",'Third_Line_MLTS-BATS'!B91,IF($E92="Y",Base!B88-Option4a!I92,IF($E92="N",0)))</f>
        <v>0</v>
      </c>
      <c r="C92" s="385">
        <f>IF($E92="Y1",'Third_Line_MLTS-BATS'!C91,IF($E92="Y",Base!C88-Option4a!J92,IF($E92="N",0)))</f>
        <v>0</v>
      </c>
      <c r="D92" s="385">
        <f>IF($E92="Y1",'Third_Line_MLTS-BATS'!D91,IF($E92="Y",Base!D88-Option4a!K92,IF($E92="N",0)))</f>
        <v>0</v>
      </c>
      <c r="E92" s="241" t="str">
        <f>E36</f>
        <v>N</v>
      </c>
      <c r="F92" s="52">
        <f>IF(OR(E92="Y",E92="Y1",E92="Y2"),D92*$G$5,)</f>
        <v>0</v>
      </c>
      <c r="H92" s="72" t="s">
        <v>64</v>
      </c>
      <c r="I92" s="40">
        <v>553.71</v>
      </c>
      <c r="J92" s="40">
        <v>8763.6</v>
      </c>
      <c r="K92" s="40">
        <v>7320.5135999999993</v>
      </c>
      <c r="L92" s="40">
        <f t="shared" ref="L92:L101" si="18">K92*$G$5</f>
        <v>453505.81751999998</v>
      </c>
    </row>
    <row r="93" spans="1:15" s="250" customFormat="1" x14ac:dyDescent="0.3">
      <c r="A93" s="72" t="s">
        <v>65</v>
      </c>
      <c r="B93" s="385">
        <f>IF($E93="Y1",'Third_Line_MLTS-BATS'!B92,IF($E93="Y",Base!B89-Option4a!I93,IF($E93="N",0)))</f>
        <v>0</v>
      </c>
      <c r="C93" s="385">
        <f>IF($E93="Y1",'Third_Line_MLTS-BATS'!C92,IF($E93="Y",Base!C89-Option4a!J93,IF($E93="N",0)))</f>
        <v>0</v>
      </c>
      <c r="D93" s="385">
        <f>IF($E93="Y1",'Third_Line_MLTS-BATS'!D92,IF($E93="Y",Base!D89-Option4a!K93,IF($E93="N",0)))</f>
        <v>0</v>
      </c>
      <c r="E93" s="241" t="str">
        <f t="shared" ref="E93:E101" si="19">E37</f>
        <v>N</v>
      </c>
      <c r="F93" s="52">
        <f t="shared" ref="F93:F101" si="20">IF(OR(E93="Y",E93="Y1",E93="Y2"),D93*$G$5,)</f>
        <v>0</v>
      </c>
      <c r="H93" s="72" t="s">
        <v>65</v>
      </c>
      <c r="I93" s="40">
        <v>582.72</v>
      </c>
      <c r="J93" s="40">
        <v>8882.1200000000008</v>
      </c>
      <c r="K93" s="40">
        <v>7312.4799199999998</v>
      </c>
      <c r="L93" s="40">
        <f t="shared" si="18"/>
        <v>453008.13104399998</v>
      </c>
    </row>
    <row r="94" spans="1:15" s="250" customFormat="1" x14ac:dyDescent="0.3">
      <c r="A94" s="72" t="s">
        <v>66</v>
      </c>
      <c r="B94" s="385">
        <f>IF($E94="Y1",'Third_Line_MLTS-BATS'!B93,IF($E94="Y",Base!B90-Option4a!I94,IF($E94="N",0)))</f>
        <v>0</v>
      </c>
      <c r="C94" s="385">
        <f>IF($E94="Y1",'Third_Line_MLTS-BATS'!C93,IF($E94="Y",Base!C90-Option4a!J94,IF($E94="N",0)))</f>
        <v>0</v>
      </c>
      <c r="D94" s="385">
        <f>IF($E94="Y1",'Third_Line_MLTS-BATS'!D93,IF($E94="Y",Base!D90-Option4a!K94,IF($E94="N",0)))</f>
        <v>0</v>
      </c>
      <c r="E94" s="241" t="str">
        <f t="shared" si="19"/>
        <v>N</v>
      </c>
      <c r="F94" s="52">
        <f t="shared" si="20"/>
        <v>0</v>
      </c>
      <c r="H94" s="72" t="s">
        <v>66</v>
      </c>
      <c r="I94" s="40">
        <v>645.71</v>
      </c>
      <c r="J94" s="40">
        <v>9267.4100000000017</v>
      </c>
      <c r="K94" s="40">
        <v>7547.7192800000003</v>
      </c>
      <c r="L94" s="40">
        <f t="shared" si="18"/>
        <v>467581.20939600002</v>
      </c>
    </row>
    <row r="95" spans="1:15" s="250" customFormat="1" x14ac:dyDescent="0.3">
      <c r="A95" s="72" t="s">
        <v>67</v>
      </c>
      <c r="B95" s="385">
        <f>IF($E95="Y1",'Third_Line_MLTS-BATS'!B94,IF($E95="Y",Base!B91-Option4a!I95,IF($E95="N",0)))</f>
        <v>0</v>
      </c>
      <c r="C95" s="385">
        <f>IF($E95="Y1",'Third_Line_MLTS-BATS'!C94,IF($E95="Y",Base!C91-Option4a!J95,IF($E95="N",0)))</f>
        <v>0</v>
      </c>
      <c r="D95" s="385">
        <f>IF($E95="Y1",'Third_Line_MLTS-BATS'!D94,IF($E95="Y",Base!D91-Option4a!K95,IF($E95="N",0)))</f>
        <v>0</v>
      </c>
      <c r="E95" s="241" t="str">
        <f t="shared" si="19"/>
        <v>N</v>
      </c>
      <c r="F95" s="52">
        <f t="shared" si="20"/>
        <v>0</v>
      </c>
      <c r="H95" s="72" t="s">
        <v>67</v>
      </c>
      <c r="I95" s="40">
        <v>692.39</v>
      </c>
      <c r="J95" s="40">
        <v>9449.48</v>
      </c>
      <c r="K95" s="40">
        <v>7594.5425599999999</v>
      </c>
      <c r="L95" s="40">
        <f t="shared" si="18"/>
        <v>470481.91159199999</v>
      </c>
    </row>
    <row r="96" spans="1:15" s="250" customFormat="1" x14ac:dyDescent="0.3">
      <c r="A96" s="72" t="s">
        <v>68</v>
      </c>
      <c r="B96" s="385">
        <f>IF($E96="Y1",'Third_Line_MLTS-BATS'!B95,IF($E96="Y",Base!B92-Option4a!I96,IF($E96="N",0)))</f>
        <v>77.939999999999941</v>
      </c>
      <c r="C96" s="385">
        <f>IF($E96="Y1",'Third_Line_MLTS-BATS'!C95,IF($E96="Y",Base!C92-Option4a!J96,IF($E96="N",0)))</f>
        <v>345.6299999999992</v>
      </c>
      <c r="D96" s="385">
        <f>IF($E96="Y1",'Third_Line_MLTS-BATS'!D95,IF($E96="Y",Base!D92-Option4a!K96,IF($E96="N",0)))</f>
        <v>375.32135999999991</v>
      </c>
      <c r="E96" s="241" t="str">
        <f t="shared" si="19"/>
        <v>Y1</v>
      </c>
      <c r="F96" s="52">
        <f t="shared" si="20"/>
        <v>23251.158251999997</v>
      </c>
      <c r="H96" s="72" t="s">
        <v>68</v>
      </c>
      <c r="I96" s="40">
        <v>768.38</v>
      </c>
      <c r="J96" s="40">
        <v>9727.4800000000014</v>
      </c>
      <c r="K96" s="40">
        <v>7663.2901600000005</v>
      </c>
      <c r="L96" s="40">
        <f t="shared" si="18"/>
        <v>474740.82541200006</v>
      </c>
    </row>
    <row r="97" spans="1:12" s="250" customFormat="1" x14ac:dyDescent="0.3">
      <c r="A97" s="72" t="s">
        <v>69</v>
      </c>
      <c r="B97" s="385">
        <f>IF($E97="Y1",'Third_Line_MLTS-BATS'!B96,IF($E97="Y",Base!B93-Option4a!I97,IF($E97="N",0)))</f>
        <v>128.41000000000008</v>
      </c>
      <c r="C97" s="385">
        <f>IF($E97="Y1",'Third_Line_MLTS-BATS'!C96,IF($E97="Y",Base!C93-Option4a!J97,IF($E97="N",0)))</f>
        <v>490.64999999999782</v>
      </c>
      <c r="D97" s="385">
        <f>IF($E97="Y1",'Third_Line_MLTS-BATS'!D96,IF($E97="Y",Base!D93-Option4a!K97,IF($E97="N",0)))</f>
        <v>480.21695999999974</v>
      </c>
      <c r="E97" s="241" t="str">
        <f t="shared" si="19"/>
        <v>Y1</v>
      </c>
      <c r="F97" s="52">
        <f t="shared" si="20"/>
        <v>29749.440671999986</v>
      </c>
      <c r="H97" s="72" t="s">
        <v>69</v>
      </c>
      <c r="I97" s="40">
        <v>864.18000000000006</v>
      </c>
      <c r="J97" s="40">
        <v>10401.269999999999</v>
      </c>
      <c r="K97" s="40">
        <v>7976.1763199999987</v>
      </c>
      <c r="L97" s="40">
        <f t="shared" si="18"/>
        <v>494124.12302399991</v>
      </c>
    </row>
    <row r="98" spans="1:12" s="250" customFormat="1" x14ac:dyDescent="0.3">
      <c r="A98" s="72" t="s">
        <v>70</v>
      </c>
      <c r="B98" s="385">
        <f>IF($E98="Y1",'Third_Line_MLTS-BATS'!B97,IF($E98="Y",Base!B94-Option4a!I98,IF($E98="N",0)))</f>
        <v>175.6600000000002</v>
      </c>
      <c r="C98" s="385">
        <f>IF($E98="Y1",'Third_Line_MLTS-BATS'!C97,IF($E98="Y",Base!C94-Option4a!J98,IF($E98="N",0)))</f>
        <v>785.58999999999833</v>
      </c>
      <c r="D98" s="385">
        <f>IF($E98="Y1",'Third_Line_MLTS-BATS'!D97,IF($E98="Y",Base!D94-Option4a!K98,IF($E98="N",0)))</f>
        <v>529.09311999999954</v>
      </c>
      <c r="E98" s="241" t="str">
        <f t="shared" si="19"/>
        <v>Y</v>
      </c>
      <c r="F98" s="52">
        <f t="shared" si="20"/>
        <v>32777.318783999974</v>
      </c>
      <c r="H98" s="72" t="s">
        <v>70</v>
      </c>
      <c r="I98" s="40">
        <v>897.21999999999991</v>
      </c>
      <c r="J98" s="40">
        <v>11495.59</v>
      </c>
      <c r="K98" s="40">
        <v>8473.5719200000003</v>
      </c>
      <c r="L98" s="40">
        <f t="shared" si="18"/>
        <v>524937.78044400003</v>
      </c>
    </row>
    <row r="99" spans="1:12" s="250" customFormat="1" x14ac:dyDescent="0.3">
      <c r="A99" s="72" t="s">
        <v>71</v>
      </c>
      <c r="B99" s="385">
        <f>IF($E99="Y1",'Third_Line_MLTS-BATS'!B98,IF($E99="Y",Base!B95-Option4a!I99,IF($E99="N",0)))</f>
        <v>181.25000000000023</v>
      </c>
      <c r="C99" s="385">
        <f>IF($E99="Y1",'Third_Line_MLTS-BATS'!C98,IF($E99="Y",Base!C95-Option4a!J99,IF($E99="N",0)))</f>
        <v>894.70000000000073</v>
      </c>
      <c r="D99" s="385">
        <f>IF($E99="Y1",'Third_Line_MLTS-BATS'!D98,IF($E99="Y",Base!D95-Option4a!K99,IF($E99="N",0)))</f>
        <v>604.76728000000003</v>
      </c>
      <c r="E99" s="241" t="str">
        <f t="shared" si="19"/>
        <v>Y</v>
      </c>
      <c r="F99" s="52">
        <f t="shared" si="20"/>
        <v>37465.332996000005</v>
      </c>
      <c r="H99" s="72" t="s">
        <v>71</v>
      </c>
      <c r="I99" s="40">
        <v>937.18000000000006</v>
      </c>
      <c r="J99" s="40">
        <v>12755.579999999998</v>
      </c>
      <c r="K99" s="40">
        <v>8912.6855999999989</v>
      </c>
      <c r="L99" s="40">
        <f t="shared" si="18"/>
        <v>552140.87291999999</v>
      </c>
    </row>
    <row r="100" spans="1:12" s="250" customFormat="1" x14ac:dyDescent="0.3">
      <c r="A100" s="72" t="s">
        <v>72</v>
      </c>
      <c r="B100" s="385">
        <f>IF($E100="Y1",'Third_Line_MLTS-BATS'!B99,IF($E100="Y",Base!B96-Option4a!I100,IF($E100="N",0)))</f>
        <v>107.62999999999977</v>
      </c>
      <c r="C100" s="385">
        <f>IF($E100="Y1",'Third_Line_MLTS-BATS'!C99,IF($E100="Y",Base!C96-Option4a!J100,IF($E100="N",0)))</f>
        <v>581.2300000000032</v>
      </c>
      <c r="D100" s="385">
        <f>IF($E100="Y1",'Third_Line_MLTS-BATS'!D99,IF($E100="Y",Base!D96-Option4a!K100,IF($E100="N",0)))</f>
        <v>385.59135999999853</v>
      </c>
      <c r="E100" s="241" t="str">
        <f t="shared" si="19"/>
        <v>Y</v>
      </c>
      <c r="F100" s="52">
        <f t="shared" si="20"/>
        <v>23887.384751999911</v>
      </c>
      <c r="H100" s="72" t="s">
        <v>72</v>
      </c>
      <c r="I100" s="40">
        <v>964.06000000000006</v>
      </c>
      <c r="J100" s="40">
        <v>14256.989999999998</v>
      </c>
      <c r="K100" s="40">
        <v>9376.0255199999992</v>
      </c>
      <c r="L100" s="40">
        <f t="shared" si="18"/>
        <v>580844.78096400003</v>
      </c>
    </row>
    <row r="101" spans="1:12" s="250" customFormat="1" x14ac:dyDescent="0.3">
      <c r="A101" s="72" t="s">
        <v>73</v>
      </c>
      <c r="B101" s="385">
        <f>IF($E101="Y1",'Third_Line_MLTS-BATS'!B100,IF($E101="Y",Base!B97-Option4a!I101,IF($E101="N",0)))</f>
        <v>109.03999999999974</v>
      </c>
      <c r="C101" s="385">
        <f>IF($E101="Y1",'Third_Line_MLTS-BATS'!C100,IF($E101="Y",Base!C97-Option4a!J101,IF($E101="N",0)))</f>
        <v>480.18999999999869</v>
      </c>
      <c r="D101" s="385">
        <f>IF($E101="Y1",'Third_Line_MLTS-BATS'!D100,IF($E101="Y",Base!D97-Option4a!K101,IF($E101="N",0)))</f>
        <v>362.91400000000067</v>
      </c>
      <c r="E101" s="241" t="str">
        <f t="shared" si="19"/>
        <v>Y</v>
      </c>
      <c r="F101" s="52">
        <f t="shared" si="20"/>
        <v>22482.522300000044</v>
      </c>
      <c r="H101" s="72" t="s">
        <v>73</v>
      </c>
      <c r="I101" s="40">
        <v>1073.68</v>
      </c>
      <c r="J101" s="40">
        <v>16729.7</v>
      </c>
      <c r="K101" s="40">
        <v>10335.123439999999</v>
      </c>
      <c r="L101" s="40">
        <f t="shared" si="18"/>
        <v>640260.897108</v>
      </c>
    </row>
    <row r="102" spans="1:12" s="250" customFormat="1" ht="15" thickBot="1" x14ac:dyDescent="0.35">
      <c r="E102" s="60">
        <f>SUM(COUNTIF(E92:E101,{"Y","Y1","Y2"}))</f>
        <v>6</v>
      </c>
      <c r="F102" s="62">
        <f>-PV($G$6,$G$7-E102,F101)</f>
        <v>216024.99878325124</v>
      </c>
      <c r="G102" s="55" t="s">
        <v>11</v>
      </c>
    </row>
    <row r="103" spans="1:12" ht="15" thickTop="1" x14ac:dyDescent="0.3"/>
    <row r="104" spans="1:12" x14ac:dyDescent="0.3">
      <c r="A104" s="363" t="s">
        <v>121</v>
      </c>
      <c r="B104" s="357"/>
      <c r="C104" s="357"/>
      <c r="D104" s="357"/>
      <c r="E104" s="357"/>
    </row>
    <row r="105" spans="1:12" x14ac:dyDescent="0.3">
      <c r="A105" s="408" t="s">
        <v>5</v>
      </c>
      <c r="B105" s="72" t="s">
        <v>3</v>
      </c>
      <c r="C105" s="344">
        <f>NPV_Summary!$F$35*Option1a!$G$5+Option1a!$G$5</f>
        <v>74.34</v>
      </c>
      <c r="D105" s="26">
        <f>NPV_Summary!$G$35*Option1a!$G$5+Option1a!$G$5</f>
        <v>49.56</v>
      </c>
      <c r="E105" s="357"/>
    </row>
    <row r="106" spans="1:12" ht="43.2" x14ac:dyDescent="0.3">
      <c r="A106" s="408"/>
      <c r="B106" s="51" t="s">
        <v>12</v>
      </c>
      <c r="C106" s="50" t="s">
        <v>25</v>
      </c>
      <c r="D106" s="50" t="s">
        <v>25</v>
      </c>
      <c r="E106" s="357"/>
    </row>
    <row r="107" spans="1:12" x14ac:dyDescent="0.3">
      <c r="A107" s="362" t="s">
        <v>64</v>
      </c>
      <c r="B107" s="3" t="str">
        <f>H17</f>
        <v>N</v>
      </c>
      <c r="C107" s="5">
        <f>IF(OR(B107="Y",B107="Y1",B107="Y2"),D17*$C$105/1000,0)</f>
        <v>0</v>
      </c>
      <c r="D107" s="5">
        <f>IF(OR(B107="Y",B107="Y1",B107="Y2"),D17*$D$105/1000,0)</f>
        <v>0</v>
      </c>
      <c r="E107" s="357"/>
    </row>
    <row r="108" spans="1:12" x14ac:dyDescent="0.3">
      <c r="A108" s="362" t="s">
        <v>65</v>
      </c>
      <c r="B108" s="3" t="str">
        <f t="shared" ref="B108:B116" si="21">H18</f>
        <v>N</v>
      </c>
      <c r="C108" s="5">
        <f t="shared" ref="C108:C116" si="22">IF(OR(B108="Y",B108="Y1",B108="Y2"),D18*$C$105/1000,0)</f>
        <v>0</v>
      </c>
      <c r="D108" s="5">
        <f t="shared" ref="D108:D116" si="23">IF(OR(B108="Y",B108="Y1",B108="Y2"),D18*$D$105/1000,0)</f>
        <v>0</v>
      </c>
      <c r="E108" s="357"/>
    </row>
    <row r="109" spans="1:12" x14ac:dyDescent="0.3">
      <c r="A109" s="362" t="s">
        <v>66</v>
      </c>
      <c r="B109" s="3" t="str">
        <f t="shared" si="21"/>
        <v>N</v>
      </c>
      <c r="C109" s="5">
        <f t="shared" si="22"/>
        <v>0</v>
      </c>
      <c r="D109" s="5">
        <f t="shared" si="23"/>
        <v>0</v>
      </c>
      <c r="E109" s="357"/>
    </row>
    <row r="110" spans="1:12" x14ac:dyDescent="0.3">
      <c r="A110" s="362" t="s">
        <v>67</v>
      </c>
      <c r="B110" s="3" t="str">
        <f t="shared" si="21"/>
        <v>N</v>
      </c>
      <c r="C110" s="5">
        <f t="shared" si="22"/>
        <v>0</v>
      </c>
      <c r="D110" s="5">
        <f t="shared" si="23"/>
        <v>0</v>
      </c>
      <c r="E110" s="357"/>
    </row>
    <row r="111" spans="1:12" x14ac:dyDescent="0.3">
      <c r="A111" s="362" t="s">
        <v>68</v>
      </c>
      <c r="B111" s="3" t="str">
        <f t="shared" si="21"/>
        <v>Y1</v>
      </c>
      <c r="C111" s="5">
        <f t="shared" si="22"/>
        <v>33.353058493439974</v>
      </c>
      <c r="D111" s="5">
        <f t="shared" si="23"/>
        <v>22.235372328959983</v>
      </c>
      <c r="E111" s="357"/>
    </row>
    <row r="112" spans="1:12" x14ac:dyDescent="0.3">
      <c r="A112" s="362" t="s">
        <v>69</v>
      </c>
      <c r="B112" s="3" t="str">
        <f t="shared" si="21"/>
        <v>Y1</v>
      </c>
      <c r="C112" s="5">
        <f t="shared" si="22"/>
        <v>33.800595998399956</v>
      </c>
      <c r="D112" s="5">
        <f t="shared" si="23"/>
        <v>22.533730665599972</v>
      </c>
      <c r="E112" s="357"/>
    </row>
    <row r="113" spans="1:5" x14ac:dyDescent="0.3">
      <c r="A113" s="362" t="s">
        <v>70</v>
      </c>
      <c r="B113" s="3" t="str">
        <f t="shared" si="21"/>
        <v>Y</v>
      </c>
      <c r="C113" s="5">
        <f t="shared" si="22"/>
        <v>71.084612148479948</v>
      </c>
      <c r="D113" s="5">
        <f t="shared" si="23"/>
        <v>47.389741432319965</v>
      </c>
      <c r="E113" s="357"/>
    </row>
    <row r="114" spans="1:5" x14ac:dyDescent="0.3">
      <c r="A114" s="362" t="s">
        <v>71</v>
      </c>
      <c r="B114" s="3" t="str">
        <f t="shared" si="21"/>
        <v>Y</v>
      </c>
      <c r="C114" s="5">
        <f t="shared" si="22"/>
        <v>78.857791669439976</v>
      </c>
      <c r="D114" s="5">
        <f t="shared" si="23"/>
        <v>52.571861112959986</v>
      </c>
      <c r="E114" s="357"/>
    </row>
    <row r="115" spans="1:5" x14ac:dyDescent="0.3">
      <c r="A115" s="362" t="s">
        <v>72</v>
      </c>
      <c r="B115" s="3" t="str">
        <f t="shared" si="21"/>
        <v>Y</v>
      </c>
      <c r="C115" s="5">
        <f t="shared" si="22"/>
        <v>73.184681465279937</v>
      </c>
      <c r="D115" s="5">
        <f t="shared" si="23"/>
        <v>48.789787643519958</v>
      </c>
      <c r="E115" s="357"/>
    </row>
    <row r="116" spans="1:5" x14ac:dyDescent="0.3">
      <c r="A116" s="362" t="s">
        <v>73</v>
      </c>
      <c r="B116" s="3" t="str">
        <f t="shared" si="21"/>
        <v>Y</v>
      </c>
      <c r="C116" s="5">
        <f t="shared" si="22"/>
        <v>87.766072813440061</v>
      </c>
      <c r="D116" s="5">
        <f t="shared" si="23"/>
        <v>58.510715208960043</v>
      </c>
      <c r="E116" s="357"/>
    </row>
    <row r="117" spans="1:5" x14ac:dyDescent="0.3">
      <c r="A117" s="357"/>
      <c r="B117" s="39">
        <f>SUM(COUNTIF(B107:B116,{"Y","Y1","Y2"}))</f>
        <v>6</v>
      </c>
      <c r="C117" s="47">
        <f>-PV($G$6,$G$7-B117,C116)</f>
        <v>843.30688166309926</v>
      </c>
      <c r="D117" s="47">
        <f>-PV($G$6,$G$7-B117,D116)</f>
        <v>562.20458777539955</v>
      </c>
      <c r="E117" s="357" t="s">
        <v>11</v>
      </c>
    </row>
    <row r="118" spans="1:5" ht="15" thickBot="1" x14ac:dyDescent="0.35">
      <c r="A118" s="357"/>
      <c r="B118" s="357"/>
      <c r="C118" s="13">
        <f>NPV($G$6,C107:C115,C116+C117)</f>
        <v>503.06094675383332</v>
      </c>
      <c r="D118" s="13">
        <f>NPV($G$6,D107:D115,D116+D117)</f>
        <v>335.37396450255557</v>
      </c>
      <c r="E118" s="357" t="s">
        <v>23</v>
      </c>
    </row>
    <row r="119" spans="1:5" ht="15" thickTop="1" x14ac:dyDescent="0.3"/>
  </sheetData>
  <mergeCells count="12">
    <mergeCell ref="A105:A106"/>
    <mergeCell ref="A15:I15"/>
    <mergeCell ref="A34:F34"/>
    <mergeCell ref="H34:L34"/>
    <mergeCell ref="A48:F48"/>
    <mergeCell ref="H48:L48"/>
    <mergeCell ref="A62:F62"/>
    <mergeCell ref="H62:L62"/>
    <mergeCell ref="A76:F76"/>
    <mergeCell ref="H76:L76"/>
    <mergeCell ref="A90:F90"/>
    <mergeCell ref="H90:L90"/>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Michael Chiang</DisplayName>
        <AccountId>57</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AEMOKeywordsTaxHTField0 xmlns="a14523ce-dede-483e-883a-2d83261080bd">
      <Terms xmlns="http://schemas.microsoft.com/office/infopath/2007/PartnerControls"/>
    </AEMOKeywordsTaxHTField0>
    <TaxCatchAll xmlns="a14523ce-dede-483e-883a-2d83261080bd">
      <Value>10</Value>
    </TaxCatchAll>
    <AEMODescription xmlns="a14523ce-dede-483e-883a-2d83261080bd" xsi:nil="true"/>
    <_dlc_DocId xmlns="a14523ce-dede-483e-883a-2d83261080bd">NETWORKDEV-16-63</_dlc_DocId>
    <_dlc_DocIdUrl xmlns="a14523ce-dede-483e-883a-2d83261080bd">
      <Url>http://sharedocs/sites/nd/_layouts/DocIdRedir.aspx?ID=NETWORKDEV-16-63</Url>
      <Description>NETWORKDEV-16-63</Description>
    </_dlc_DocIdUrl>
  </documentManagement>
</p:properties>
</file>

<file path=customXml/item2.xml><?xml version="1.0" encoding="utf-8"?>
<?mso-contentType ?>
<SharedContentType xmlns="Microsoft.SharePoint.Taxonomy.ContentTypeSync" SourceId="409ac0fb-07cb-4169-8a26-def2760b5502" ContentTypeId="0x0101009BE89D58CAF0934CA32A20BCFFD353DC"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customXsn xmlns="http://schemas.microsoft.com/office/2006/metadata/customXsn">
  <xsnLocation/>
  <cached>True</cached>
  <openByDefault>True</openByDefault>
  <xsnScope/>
</customXsn>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ct:contentTypeSchema xmlns:ct="http://schemas.microsoft.com/office/2006/metadata/contentType" xmlns:ma="http://schemas.microsoft.com/office/2006/metadata/properties/metaAttributes" ct:_="" ma:_="" ma:contentTypeName="AEMODocument" ma:contentTypeID="0x0101009BE89D58CAF0934CA32A20BCFFD353DC00D6D031ADE1F5E24BB9172C8122DD373F" ma:contentTypeVersion="19" ma:contentTypeDescription="" ma:contentTypeScope="" ma:versionID="cd116b1114c2c1c401c9d992a43c7213">
  <xsd:schema xmlns:xsd="http://www.w3.org/2001/XMLSchema" xmlns:xs="http://www.w3.org/2001/XMLSchema" xmlns:p="http://schemas.microsoft.com/office/2006/metadata/properties" xmlns:ns2="a14523ce-dede-483e-883a-2d83261080bd" targetNamespace="http://schemas.microsoft.com/office/2006/metadata/properties" ma:root="true" ma:fieldsID="4fa0ad8affc590fb805766f08e797108"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a3d71777-fd6e-4d93-9596-cdbfc51d7a40}" ma:internalName="TaxCatchAll" ma:showField="CatchAllData" ma:web="79121a2e-3fc2-4da1-9991-bb782f4e0e0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a3d71777-fd6e-4d93-9596-cdbfc51d7a40}" ma:internalName="TaxCatchAllLabel" ma:readOnly="true" ma:showField="CatchAllDataLabel" ma:web="79121a2e-3fc2-4da1-9991-bb782f4e0e04">
      <xsd:complexType>
        <xsd:complexContent>
          <xsd:extension base="dms:MultiChoiceLookup">
            <xsd:sequence>
              <xsd:element name="Value" type="dms:Lookup" maxOccurs="unbounded" minOccurs="0" nillable="true"/>
            </xsd:sequence>
          </xsd:extension>
        </xsd:complexContent>
      </xsd:complexType>
    </xsd:element>
    <xsd:element name="AEMOCustodian" ma:index="13"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ma:taxonomy="true" ma:internalName="AEMODocumentTypeTaxHTField0" ma:taxonomyFieldName="AEMODocumentType" ma:displayName="AEMODocumentType" ma:readOnly="false" ma:default=""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25E13-75DD-4EA3-BB9C-F85E8F281863}"/>
</file>

<file path=customXml/itemProps2.xml><?xml version="1.0" encoding="utf-8"?>
<ds:datastoreItem xmlns:ds="http://schemas.openxmlformats.org/officeDocument/2006/customXml" ds:itemID="{9B38DE93-63B3-4FD5-8529-A2E1BDDD6A2D}"/>
</file>

<file path=customXml/itemProps3.xml><?xml version="1.0" encoding="utf-8"?>
<ds:datastoreItem xmlns:ds="http://schemas.openxmlformats.org/officeDocument/2006/customXml" ds:itemID="{4F10CB0A-5DFF-4AEB-9F0D-1C555C6BD217}"/>
</file>

<file path=customXml/itemProps4.xml><?xml version="1.0" encoding="utf-8"?>
<ds:datastoreItem xmlns:ds="http://schemas.openxmlformats.org/officeDocument/2006/customXml" ds:itemID="{BF15505F-72F5-4BF8-B1D5-5731B1C1E7C5}"/>
</file>

<file path=customXml/itemProps5.xml><?xml version="1.0" encoding="utf-8"?>
<ds:datastoreItem xmlns:ds="http://schemas.openxmlformats.org/officeDocument/2006/customXml" ds:itemID="{B9FD3FC6-985A-402E-8699-6F2B918624D0}"/>
</file>

<file path=customXml/itemProps6.xml><?xml version="1.0" encoding="utf-8"?>
<ds:datastoreItem xmlns:ds="http://schemas.openxmlformats.org/officeDocument/2006/customXml" ds:itemID="{1E7BE57C-EBB9-46F0-A729-42D94A2724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Introduction</vt:lpstr>
      <vt:lpstr>NPV_Summary</vt:lpstr>
      <vt:lpstr>Do Nothing</vt:lpstr>
      <vt:lpstr>Option1a</vt:lpstr>
      <vt:lpstr>Option1b</vt:lpstr>
      <vt:lpstr>Option2</vt:lpstr>
      <vt:lpstr>Option3a</vt:lpstr>
      <vt:lpstr>Option3b</vt:lpstr>
      <vt:lpstr>Option4a</vt:lpstr>
      <vt:lpstr>Option4b</vt:lpstr>
      <vt:lpstr>Option5</vt:lpstr>
      <vt:lpstr>Option6</vt:lpstr>
      <vt:lpstr>Option7</vt:lpstr>
      <vt:lpstr>Option8</vt:lpstr>
      <vt:lpstr>DoubleCircuit_MLTS-BATS</vt:lpstr>
      <vt:lpstr>DoubleCircuit_BATS-BETS</vt:lpstr>
      <vt:lpstr>Third_Line_MLTS-BATS</vt:lpstr>
      <vt:lpstr>WindMonitoring_BATS-BETS</vt:lpstr>
      <vt:lpstr>Base</vt:lpstr>
      <vt:lpstr>Base_Unconstraint</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2013-10-09T02:32:12Z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0x0101009BE89D58CAF0934CA32A20BCFFD353DC00D6D031ADE1F5E24BB9172C8122DD373F</vt:lpwstr>
  </property>
  <property fmtid="{D5CDD505-2E9C-101B-9397-08002B2CF9AE}" pid="3" name="_dlc_DocIdItemGuid">
    <vt:lpwstr>e1471d63-999f-4b1c-8dfb-49d1e3a97527</vt:lpwstr>
  </property>
  <property fmtid="{D5CDD505-2E9C-101B-9397-08002B2CF9AE}" pid="4" name="AEMODocumentType">
    <vt:lpwstr>10;#Publication|8ae4cf81-fd7c-4b5d-880f-3ad9d29fca1a</vt:lpwstr>
  </property>
  <property fmtid="{D5CDD505-2E9C-101B-9397-08002B2CF9AE}" pid="5" name="AEMOKeywords">
    <vt:lpwstr/>
  </property>
</Properties>
</file>