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sharedocs\DavWWWRoot\sites\nd\BusinessAsUsual\Generation Information\GenInfo\2018\2018_July_Major_Update\Publication\"/>
    </mc:Choice>
  </mc:AlternateContent>
  <xr:revisionPtr revIDLastSave="0" documentId="10_ncr:100000_{251CEFE2-B62D-4856-BF19-F40D5F88B572}" xr6:coauthVersionLast="31" xr6:coauthVersionMax="31" xr10:uidLastSave="{00000000-0000-0000-0000-000000000000}"/>
  <bookViews>
    <workbookView xWindow="0" yWindow="0" windowWidth="13125" windowHeight="6105" tabRatio="803" xr2:uid="{00000000-000D-0000-FFFF-FFFF00000000}"/>
  </bookViews>
  <sheets>
    <sheet name="Tasmania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19" r:id="rId8"/>
  </sheets>
  <definedNames>
    <definedName name="ExternalData_1" localSheetId="5" hidden="1">'Existing NS Generation'!$A$2:$I$17</definedName>
    <definedName name="ExternalData_1" localSheetId="2">'Existing S &amp; SS Generation'!#REF!</definedName>
    <definedName name="ExternalData_1" localSheetId="6" hidden="1">'New Developments'!$A$2:$O$15</definedName>
    <definedName name="ExternalData_1" localSheetId="3" hidden="1">'Summer Scheduled Capacities'!$A$2:$O$25</definedName>
    <definedName name="ExternalData_2" localSheetId="2" hidden="1">'Existing S &amp; SS Generation'!$A$2:$K$23</definedName>
    <definedName name="ExternalData_2" localSheetId="3" hidden="1">'Summer Scheduled Capacities'!$A$34:$O$54</definedName>
    <definedName name="ExternalData_3" localSheetId="3" hidden="1">'Summer Scheduled Capacities'!$A$60:$O$63</definedName>
  </definedNames>
  <calcPr calcId="179017"/>
</workbook>
</file>

<file path=xl/calcChain.xml><?xml version="1.0" encoding="utf-8"?>
<calcChain xmlns="http://schemas.openxmlformats.org/spreadsheetml/2006/main">
  <c r="L89" i="1" l="1"/>
  <c r="K89" i="1"/>
  <c r="J89" i="1"/>
  <c r="I89" i="1"/>
  <c r="H89" i="1"/>
  <c r="G89" i="1"/>
  <c r="F89" i="1"/>
  <c r="E89" i="1"/>
  <c r="D89" i="1"/>
  <c r="L86" i="1"/>
  <c r="K86" i="1"/>
  <c r="J86" i="1"/>
  <c r="I86" i="1"/>
  <c r="H86" i="1"/>
  <c r="G86" i="1"/>
  <c r="F86" i="1"/>
  <c r="E86" i="1"/>
  <c r="D86" i="1"/>
  <c r="L85" i="1"/>
  <c r="K85" i="1"/>
  <c r="J85" i="1"/>
  <c r="I85" i="1"/>
  <c r="H85" i="1"/>
  <c r="G85" i="1"/>
  <c r="F85" i="1"/>
  <c r="E85" i="1"/>
  <c r="D85" i="1"/>
  <c r="C85" i="1"/>
  <c r="C86" i="1"/>
  <c r="C89" i="1"/>
  <c r="D25" i="11"/>
  <c r="C19" i="12" l="1"/>
  <c r="C27" i="16" l="1"/>
  <c r="D27" i="16"/>
  <c r="E27" i="16"/>
  <c r="F27" i="16"/>
  <c r="G27" i="16"/>
  <c r="H27" i="16"/>
  <c r="I27" i="16"/>
  <c r="J27" i="16"/>
  <c r="K27" i="16"/>
  <c r="B27" i="16"/>
  <c r="C56" i="16"/>
  <c r="C57" i="16" s="1"/>
  <c r="D56" i="16"/>
  <c r="D57" i="16" s="1"/>
  <c r="E56" i="16"/>
  <c r="E57" i="16" s="1"/>
  <c r="F56" i="16"/>
  <c r="F57" i="16" s="1"/>
  <c r="G56" i="16"/>
  <c r="G57" i="16" s="1"/>
  <c r="H56" i="16"/>
  <c r="H57" i="16" s="1"/>
  <c r="I56" i="16"/>
  <c r="I57" i="16" s="1"/>
  <c r="J56" i="16"/>
  <c r="J57" i="16" s="1"/>
  <c r="K56" i="16"/>
  <c r="K57" i="16" s="1"/>
  <c r="B56" i="16"/>
  <c r="B57" i="16" s="1"/>
  <c r="C65" i="16"/>
  <c r="D65" i="16"/>
  <c r="E65" i="16"/>
  <c r="F65" i="16"/>
  <c r="G65" i="16"/>
  <c r="H65" i="16"/>
  <c r="I65" i="16"/>
  <c r="J65" i="16"/>
  <c r="K65" i="16"/>
  <c r="B65" i="16"/>
  <c r="C56" i="15" l="1"/>
  <c r="C57" i="15" s="1"/>
  <c r="D56" i="15"/>
  <c r="D57" i="15" s="1"/>
  <c r="E56" i="15"/>
  <c r="E57" i="15" s="1"/>
  <c r="F56" i="15"/>
  <c r="F57" i="15" s="1"/>
  <c r="G56" i="15"/>
  <c r="G57" i="15" s="1"/>
  <c r="H56" i="15"/>
  <c r="H57" i="15" s="1"/>
  <c r="I56" i="15"/>
  <c r="I57" i="15" s="1"/>
  <c r="J56" i="15"/>
  <c r="J57" i="15" s="1"/>
  <c r="K56" i="15"/>
  <c r="K57" i="15" s="1"/>
  <c r="B56" i="15"/>
  <c r="B57" i="15" s="1"/>
  <c r="C65" i="15"/>
  <c r="D65" i="15"/>
  <c r="E65" i="15"/>
  <c r="F65" i="15"/>
  <c r="G65" i="15"/>
  <c r="H65" i="15"/>
  <c r="I65" i="15"/>
  <c r="J65" i="15"/>
  <c r="K65" i="15"/>
  <c r="B65" i="15"/>
  <c r="C27" i="15"/>
  <c r="D27" i="15"/>
  <c r="E27" i="15"/>
  <c r="F27" i="15"/>
  <c r="G27" i="15"/>
  <c r="H27" i="15"/>
  <c r="I27" i="15"/>
  <c r="J27" i="15"/>
  <c r="K27" i="15"/>
  <c r="B27" i="15"/>
  <c r="H87" i="1" l="1"/>
  <c r="J84" i="1"/>
  <c r="F84" i="1" l="1"/>
  <c r="G84" i="1"/>
  <c r="H84" i="1"/>
  <c r="L84" i="1"/>
  <c r="I84" i="1"/>
  <c r="E84" i="1"/>
  <c r="D84" i="1"/>
  <c r="M89" i="1"/>
  <c r="M85" i="1"/>
  <c r="K84" i="1"/>
  <c r="M86" i="1"/>
  <c r="C84" i="1"/>
  <c r="L88" i="1"/>
  <c r="K88" i="1"/>
  <c r="J88" i="1"/>
  <c r="I88" i="1"/>
  <c r="H88" i="1"/>
  <c r="G88" i="1"/>
  <c r="F88" i="1"/>
  <c r="E88" i="1"/>
  <c r="D88" i="1"/>
  <c r="C88" i="1"/>
  <c r="L87" i="1"/>
  <c r="K87" i="1"/>
  <c r="J87" i="1"/>
  <c r="I87" i="1"/>
  <c r="G87" i="1"/>
  <c r="F87" i="1"/>
  <c r="E87" i="1"/>
  <c r="D87" i="1"/>
  <c r="C87" i="1"/>
  <c r="M88" i="1" l="1"/>
  <c r="M87" i="1"/>
  <c r="M8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<sst xmlns="http://schemas.openxmlformats.org/spreadsheetml/2006/main" count="1303" uniqueCount="339">
  <si>
    <t>Existing &amp; committed scheduled and semi-scheduled generation</t>
  </si>
  <si>
    <t>Power Station</t>
  </si>
  <si>
    <t>Owner</t>
  </si>
  <si>
    <t>Technology Type</t>
  </si>
  <si>
    <t>Fuel Type</t>
  </si>
  <si>
    <t>Dispatch Type</t>
  </si>
  <si>
    <t>Service Status</t>
  </si>
  <si>
    <t>Region</t>
  </si>
  <si>
    <t>S</t>
  </si>
  <si>
    <t>In Service</t>
  </si>
  <si>
    <t>Wind - Onshore</t>
  </si>
  <si>
    <t>Wind</t>
  </si>
  <si>
    <t>SS</t>
  </si>
  <si>
    <t>OCGT</t>
  </si>
  <si>
    <t>Natural Gas Pipeline</t>
  </si>
  <si>
    <t>Water</t>
  </si>
  <si>
    <t>Bastyan</t>
  </si>
  <si>
    <t>Hydro-Electric Corporation</t>
  </si>
  <si>
    <t>1 x 79.9</t>
  </si>
  <si>
    <t>Hydro - Gravity</t>
  </si>
  <si>
    <t>TAS</t>
  </si>
  <si>
    <t>Bell Bay Three</t>
  </si>
  <si>
    <t>AETV Pty Ltd</t>
  </si>
  <si>
    <t>3 x 40</t>
  </si>
  <si>
    <t>AGL</t>
  </si>
  <si>
    <t>Solar</t>
  </si>
  <si>
    <t>Catagunya / Liapootah / Wayatinah</t>
  </si>
  <si>
    <t>3 x 12.8
2 x 24
3 x 27.9</t>
  </si>
  <si>
    <t>Cethana</t>
  </si>
  <si>
    <t>1 x 85</t>
  </si>
  <si>
    <t>PV-Tracking Flat panel</t>
  </si>
  <si>
    <t>CCGT</t>
  </si>
  <si>
    <t>Devils Gate</t>
  </si>
  <si>
    <t>1 x 60</t>
  </si>
  <si>
    <t>Fisher</t>
  </si>
  <si>
    <t>1 x 43.2</t>
  </si>
  <si>
    <t>Gordon</t>
  </si>
  <si>
    <t>3 x 144</t>
  </si>
  <si>
    <t>Pump Storage</t>
  </si>
  <si>
    <t>John Butters</t>
  </si>
  <si>
    <t>1 x 144</t>
  </si>
  <si>
    <t>Lake Echo</t>
  </si>
  <si>
    <t>1 x 32.4</t>
  </si>
  <si>
    <t>Lemonthyme / Wilmot</t>
  </si>
  <si>
    <t>1 x 30.6
1 x 51</t>
  </si>
  <si>
    <t>Announced Withdrawal</t>
  </si>
  <si>
    <t>Mackintosh</t>
  </si>
  <si>
    <t>Meadowbank</t>
  </si>
  <si>
    <t>1 x 40</t>
  </si>
  <si>
    <t>Woolnorth Wind Farm Holding Pty Ltd</t>
  </si>
  <si>
    <t>56 x 3</t>
  </si>
  <si>
    <t>Poatina</t>
  </si>
  <si>
    <t>6 x 50</t>
  </si>
  <si>
    <t>Reece</t>
  </si>
  <si>
    <t>2 x 115.6</t>
  </si>
  <si>
    <t>Tamar Valley Combined Cycle</t>
  </si>
  <si>
    <t>1 x 140
1 x 68</t>
  </si>
  <si>
    <t>Tamar Valley Peaking</t>
  </si>
  <si>
    <t>1 x 58</t>
  </si>
  <si>
    <t>Tarraleah</t>
  </si>
  <si>
    <t>6 x 15</t>
  </si>
  <si>
    <t>Trevallyn</t>
  </si>
  <si>
    <t>2 x 20
2 x 26.5</t>
  </si>
  <si>
    <t>Tribute</t>
  </si>
  <si>
    <t>1 x 82.8</t>
  </si>
  <si>
    <t>Tungatinah</t>
  </si>
  <si>
    <t>5 x 25</t>
  </si>
  <si>
    <t>Total</t>
  </si>
  <si>
    <t>1</t>
  </si>
  <si>
    <t>10</t>
  </si>
  <si>
    <t>Existing non-scheduled generation</t>
  </si>
  <si>
    <t>Nameplate Capacity (MW)</t>
  </si>
  <si>
    <t>In service</t>
  </si>
  <si>
    <t>LMS Energy Pty Ltd</t>
  </si>
  <si>
    <t>Landfill Methane / Landfill Gas</t>
  </si>
  <si>
    <t>Butlers Gorge</t>
  </si>
  <si>
    <t>Cluny</t>
  </si>
  <si>
    <t>Glenorchy</t>
  </si>
  <si>
    <t>Hobart</t>
  </si>
  <si>
    <t>Lake Margaret</t>
  </si>
  <si>
    <t>Lower Lake Margaret</t>
  </si>
  <si>
    <t>Paloona</t>
  </si>
  <si>
    <t>Remount</t>
  </si>
  <si>
    <t>Repulse</t>
  </si>
  <si>
    <t>Rowallan</t>
  </si>
  <si>
    <t>Tods Corner</t>
  </si>
  <si>
    <t>Woolnorth Studland Bay / Bluff Point</t>
  </si>
  <si>
    <t>Projects under development</t>
  </si>
  <si>
    <t>Project</t>
  </si>
  <si>
    <t>Unit ID</t>
  </si>
  <si>
    <t>Unit Status</t>
  </si>
  <si>
    <t>Full Commercial Use Date</t>
  </si>
  <si>
    <t>TBA</t>
  </si>
  <si>
    <t>No</t>
  </si>
  <si>
    <t>NS</t>
  </si>
  <si>
    <t>144</t>
  </si>
  <si>
    <t>George Town Solar</t>
  </si>
  <si>
    <t>1-31</t>
  </si>
  <si>
    <t>Granville Harbour Wind Farm</t>
  </si>
  <si>
    <t>Granville Harbour Operations Pty Ltd as trustee for Granville Harbour Operations Trust</t>
  </si>
  <si>
    <t>111.6</t>
  </si>
  <si>
    <t>12.5</t>
  </si>
  <si>
    <t>Low Head Wind Farm</t>
  </si>
  <si>
    <t>Low Head Wind Farm Pty Ltd</t>
  </si>
  <si>
    <t>Units 1-10</t>
  </si>
  <si>
    <t>42</t>
  </si>
  <si>
    <t>Dec 2019</t>
  </si>
  <si>
    <t>Wesley Vale Solar</t>
  </si>
  <si>
    <t>Wild Cattle Hill Wind Farm</t>
  </si>
  <si>
    <t>Wild Cattle Hill Pty Ltd</t>
  </si>
  <si>
    <t>1-49</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</si>
  <si>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</si>
  <si>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</si>
  <si>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</si>
  <si>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</si>
  <si>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</si>
  <si>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</si>
  <si>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</si>
  <si>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</si>
  <si>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</si>
  <si>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</si>
  <si>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</si>
  <si>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</si>
  <si>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</si>
  <si>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</si>
  <si>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</si>
  <si>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</si>
  <si>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</si>
  <si>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</si>
  <si>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</si>
  <si>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</si>
  <si>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Storage</t>
  </si>
  <si>
    <t>G7 Generation</t>
  </si>
  <si>
    <t>Please read the full disclaimer at</t>
  </si>
  <si>
    <t>http://www.aemo.com.au/Electricity/National-Electricity-Market-NEM/Planning-and-forecasting/Generation-information</t>
  </si>
  <si>
    <t>Tasmania Summary</t>
  </si>
  <si>
    <t>Changes since last update</t>
  </si>
  <si>
    <r>
      <rPr>
        <b/>
        <sz val="9"/>
        <rFont val="Arial"/>
        <family val="2"/>
      </rPr>
      <t>Granville Harbour Wind Farm:</t>
    </r>
    <r>
      <rPr>
        <sz val="9"/>
        <rFont val="Arial"/>
        <family val="2"/>
      </rPr>
      <t xml:space="preserve"> Granville Harbour Wind Farm (111.6 MW) is now reported as committed as Palisade Investment Partners Pty Ltd advises construction has commenced.</t>
    </r>
  </si>
  <si>
    <t xml:space="preserve">Generation withdrawals  </t>
  </si>
  <si>
    <t>None to report.</t>
  </si>
  <si>
    <t xml:space="preserve">Announced withdrawals (i.e. Mothballed, Seasonal Shut down etc.)           </t>
  </si>
  <si>
    <r>
      <rPr>
        <b/>
        <sz val="9"/>
        <rFont val="Arial"/>
        <family val="2"/>
      </rPr>
      <t>Tamar Valley CCGT:</t>
    </r>
    <r>
      <rPr>
        <sz val="9"/>
        <rFont val="Arial"/>
        <family val="2"/>
      </rPr>
      <t xml:space="preserve"> Hydro Tasmania advises that the Tamar Valley CCGT (208 MW) will be withdrawn after May 2017, but is available for operation with less than 3 months' notice.</t>
    </r>
  </si>
  <si>
    <t>Committed projects</t>
  </si>
  <si>
    <r>
      <rPr>
        <b/>
        <sz val="9"/>
        <rFont val="Arial"/>
        <family val="2"/>
      </rPr>
      <t xml:space="preserve">Coal, CCGT, OCGT, Gas other, Water, Solar, Biomass, Geo-thermal, Other : </t>
    </r>
    <r>
      <rPr>
        <sz val="9"/>
        <rFont val="Arial"/>
        <family val="2"/>
      </rPr>
      <t>None to report.</t>
    </r>
  </si>
  <si>
    <t xml:space="preserve">Proposed projects </t>
  </si>
  <si>
    <t>Please refer to information presented in the worksheet titled 'New Developments'.</t>
  </si>
  <si>
    <t xml:space="preserve">Plant limitations </t>
  </si>
  <si>
    <r>
      <t>Bastyan Power Station:</t>
    </r>
    <r>
      <rPr>
        <sz val="9"/>
        <rFont val="Arial"/>
        <family val="2"/>
      </rPr>
      <t xml:space="preserve"> Hydro-Electric Corporation advises that Bastyan's available capacity will be (zero) 0 MW during summer 2021-22.</t>
    </r>
  </si>
  <si>
    <r>
      <rPr>
        <b/>
        <sz val="9"/>
        <rFont val="Arial"/>
        <family val="2"/>
      </rPr>
      <t>Catagunyah/Liapootah/Wayatinah Power Station:</t>
    </r>
    <r>
      <rPr>
        <sz val="9"/>
        <rFont val="Arial"/>
        <family val="2"/>
      </rPr>
      <t xml:space="preserve"> Hydro-Electric Corporation advises that Catagunyah/Liapootah/Wayatinah Power Stations will undergo the following outages:</t>
    </r>
  </si>
  <si>
    <r>
      <t>·</t>
    </r>
    <r>
      <rPr>
        <sz val="7"/>
        <rFont val="Times New Roman"/>
        <family val="1"/>
      </rPr>
      <t xml:space="preserve">      </t>
    </r>
    <r>
      <rPr>
        <sz val="9"/>
        <rFont val="Arial"/>
        <family val="2"/>
      </rPr>
      <t>Liapootah Unit 3 will be unavailable during:</t>
    </r>
  </si>
  <si>
    <r>
      <t>-</t>
    </r>
    <r>
      <rPr>
        <sz val="7"/>
        <rFont val="Times New Roman"/>
        <family val="1"/>
      </rPr>
      <t xml:space="preserve">     </t>
    </r>
    <r>
      <rPr>
        <sz val="9"/>
        <rFont val="Arial"/>
        <family val="2"/>
      </rPr>
      <t>summer 2018–19</t>
    </r>
  </si>
  <si>
    <r>
      <t>·</t>
    </r>
    <r>
      <rPr>
        <sz val="7"/>
        <rFont val="Times New Roman"/>
        <family val="1"/>
      </rPr>
      <t xml:space="preserve">      </t>
    </r>
    <r>
      <rPr>
        <sz val="9"/>
        <rFont val="Arial"/>
        <family val="2"/>
      </rPr>
      <t>Wayatinah Unit 3 will be unavailable during:</t>
    </r>
  </si>
  <si>
    <r>
      <t>·</t>
    </r>
    <r>
      <rPr>
        <sz val="7"/>
        <rFont val="Times New Roman"/>
        <family val="1"/>
      </rPr>
      <t xml:space="preserve">      </t>
    </r>
    <r>
      <rPr>
        <sz val="9"/>
        <rFont val="Arial"/>
        <family val="2"/>
      </rPr>
      <t>Catagunya Unit 1 will be unavailable during:</t>
    </r>
  </si>
  <si>
    <r>
      <t xml:space="preserve">Devils Gate Power Station: </t>
    </r>
    <r>
      <rPr>
        <sz val="9"/>
        <rFont val="Arial"/>
        <family val="2"/>
      </rPr>
      <t>Hydro-Electric Corporation advises that Devils Gate’s available capacity will be (zero) 0 MW during summer 2017-18 and winter 2018.</t>
    </r>
  </si>
  <si>
    <r>
      <t xml:space="preserve">Gordon Power Station: </t>
    </r>
    <r>
      <rPr>
        <sz val="9"/>
        <rFont val="Arial"/>
        <family val="2"/>
      </rPr>
      <t>Hydro-Electric Corporation advises that Gordon's available capacity will reduced to 371 MW (-25) MW during summer and winter due to lower storage levels. Also, the station will undergo the following outages:</t>
    </r>
  </si>
  <si>
    <r>
      <t>·</t>
    </r>
    <r>
      <rPr>
        <sz val="7"/>
        <color rgb="FF000000"/>
        <rFont val="Times New Roman"/>
        <family val="1"/>
      </rPr>
      <t xml:space="preserve">      </t>
    </r>
    <r>
      <rPr>
        <sz val="9"/>
        <color rgb="FF000000"/>
        <rFont val="Arial"/>
        <family val="2"/>
      </rPr>
      <t>Gordon Unit 1 will be unavailable during:</t>
    </r>
  </si>
  <si>
    <r>
      <t>-</t>
    </r>
    <r>
      <rPr>
        <sz val="7"/>
        <rFont val="Times New Roman"/>
        <family val="1"/>
      </rPr>
      <t xml:space="preserve">     </t>
    </r>
    <r>
      <rPr>
        <sz val="9"/>
        <rFont val="Arial"/>
        <family val="2"/>
      </rPr>
      <t>summer 2022–23</t>
    </r>
  </si>
  <si>
    <r>
      <t>·</t>
    </r>
    <r>
      <rPr>
        <sz val="7"/>
        <color rgb="FF000000"/>
        <rFont val="Times New Roman"/>
        <family val="1"/>
      </rPr>
      <t xml:space="preserve">      </t>
    </r>
    <r>
      <rPr>
        <sz val="9"/>
        <color rgb="FF000000"/>
        <rFont val="Arial"/>
        <family val="2"/>
      </rPr>
      <t>Gordon Unit 2 will be unavailable during:</t>
    </r>
  </si>
  <si>
    <r>
      <t>-</t>
    </r>
    <r>
      <rPr>
        <sz val="7"/>
        <rFont val="Times New Roman"/>
        <family val="1"/>
      </rPr>
      <t xml:space="preserve">     </t>
    </r>
    <r>
      <rPr>
        <sz val="9"/>
        <rFont val="Arial"/>
        <family val="2"/>
      </rPr>
      <t>summer 2021–22</t>
    </r>
  </si>
  <si>
    <r>
      <t>·</t>
    </r>
    <r>
      <rPr>
        <sz val="7"/>
        <color rgb="FF000000"/>
        <rFont val="Times New Roman"/>
        <family val="1"/>
      </rPr>
      <t xml:space="preserve">      </t>
    </r>
    <r>
      <rPr>
        <sz val="9"/>
        <color rgb="FF000000"/>
        <rFont val="Arial"/>
        <family val="2"/>
      </rPr>
      <t>Gordon Unit 3 will be unavailable during:</t>
    </r>
  </si>
  <si>
    <r>
      <t>-</t>
    </r>
    <r>
      <rPr>
        <sz val="7"/>
        <rFont val="Times New Roman"/>
        <family val="1"/>
      </rPr>
      <t xml:space="preserve">     </t>
    </r>
    <r>
      <rPr>
        <sz val="9"/>
        <rFont val="Arial"/>
        <family val="2"/>
      </rPr>
      <t>summer 2023–24</t>
    </r>
  </si>
  <si>
    <r>
      <t>John Butters Station:</t>
    </r>
    <r>
      <rPr>
        <sz val="9"/>
        <rFont val="Arial"/>
        <family val="2"/>
      </rPr>
      <t xml:space="preserve"> Hydro-Electric Corporation advises that John Butters' available capacity will be (zero) 0 MW during summer 2024-25 and winter 2025.</t>
    </r>
  </si>
  <si>
    <r>
      <t xml:space="preserve">Lake Echo Power Station: </t>
    </r>
    <r>
      <rPr>
        <sz val="9"/>
        <rFont val="Arial"/>
        <family val="2"/>
      </rPr>
      <t>Hydro-Electric Corporation advises that Lake Echo's available capacity will be (zero) 0 MW during winter 2018, 2019, 2020 and 2024.</t>
    </r>
  </si>
  <si>
    <r>
      <t xml:space="preserve">Lemonthyme/Wilmot Power Station: </t>
    </r>
    <r>
      <rPr>
        <sz val="9"/>
        <rFont val="Arial"/>
        <family val="2"/>
      </rPr>
      <t>Hydro-Electric Corporation advises that Lemonthyme/Wilmot's available capacity will be 54 MW during summer 2017-18 and summer 2020-21, and 32 MW during summer 2019-20.</t>
    </r>
  </si>
  <si>
    <r>
      <t xml:space="preserve">Mackintosh Power Station: </t>
    </r>
    <r>
      <rPr>
        <sz val="9"/>
        <rFont val="Arial"/>
        <family val="2"/>
      </rPr>
      <t>Hydro-Electric Corporation advises that Mackintosh's available capacity will be (zero) 0 MW during summer 2022-23.</t>
    </r>
  </si>
  <si>
    <r>
      <t xml:space="preserve">Reece Power Station: </t>
    </r>
    <r>
      <rPr>
        <sz val="9"/>
        <rFont val="Arial"/>
        <family val="2"/>
      </rPr>
      <t>Hydro-Electric Corporation advises that Reece's available capacity will be 116 MW during summer 2023-24 and 2025-26 due to an outage.</t>
    </r>
  </si>
  <si>
    <t>Tarraleah Power Station: Hydro-Electric Corporation advises that Tarraleah’s available capacity will be:</t>
  </si>
  <si>
    <t>•       75 MW from winter 2022 to summer 2024-25 due to outages of Units 1, 2 and 3.</t>
  </si>
  <si>
    <t>Trevallyn Power Station: Hydro-Electric Corporation advises that Trevallyn’s available capacity will be:</t>
  </si>
  <si>
    <t>•       81.9 MW during summer 2019–20 due to outages of Unit 1.</t>
  </si>
  <si>
    <t>•       0 MW during summer 2020–21 due to outages</t>
  </si>
  <si>
    <t>Tungatinah Power Station: Hydro-Electric Corporation advises that Tungatinah’s available capacity will be:</t>
  </si>
  <si>
    <t>•       104.4 MW during summer 2019-20 due to outages</t>
  </si>
  <si>
    <t>•       104.4 MW during summer 2021–22 due to outages</t>
  </si>
  <si>
    <r>
      <t xml:space="preserve">Tribute: </t>
    </r>
    <r>
      <rPr>
        <sz val="9"/>
        <rFont val="Arial"/>
        <family val="2"/>
      </rPr>
      <t>Hydro-Electric Corporation advises that Tribute's available capacity will be (zero) 0 MW during summer 2025-26.</t>
    </r>
  </si>
  <si>
    <t>Tasmania existing and potential new developments by generation type (MW)</t>
  </si>
  <si>
    <t>Tasmania Change Log</t>
  </si>
  <si>
    <t>Lists all key updates to new development projects and existing generation information between publication dates since the 2012 ESOO.</t>
  </si>
  <si>
    <t>Publication date:</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</si>
  <si>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</si>
  <si>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r>
      <rPr>
        <b/>
        <sz val="9"/>
        <color theme="1"/>
        <rFont val="Arial"/>
        <family val="2"/>
      </rPr>
      <t>Poatina Power Station:</t>
    </r>
    <r>
      <rPr>
        <sz val="9"/>
        <color theme="1"/>
        <rFont val="Arial"/>
        <family val="2"/>
      </rPr>
      <t xml:space="preserve"> Hydro Tasmania advises that the Poatina plant has revised its available capacity from 300 MW to 342 MW (+42 MW) in summer and winter, based on operating experience.</t>
    </r>
  </si>
  <si>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</si>
  <si>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</si>
  <si>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</si>
  <si>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</si>
  <si>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r>
      <t>Tamar Valley OCGT (Bell Bay Three &amp; TVPP104)</t>
    </r>
    <r>
      <rPr>
        <sz val="9"/>
        <rFont val="Arial"/>
        <family val="2"/>
      </rPr>
      <t>: Hydro-Electric Corporation advises that TVPP104 available capacity will be (zero) 0 MW during summer 2015-16, specifically between 4/9/2015 and 4/3/2016 due to a major outage.</t>
    </r>
  </si>
  <si>
    <r>
      <t xml:space="preserve">Cethana Power Station: </t>
    </r>
    <r>
      <rPr>
        <sz val="9"/>
        <rFont val="Arial"/>
        <family val="2"/>
      </rPr>
      <t>Hydro-Electric Corporation advises that Cethana’s available capacity will be (zero) 0 MW during summer 2014-15,  specifically between 5/1/2015 and 21/9/2015 due to a major refurbishment project.</t>
    </r>
  </si>
  <si>
    <r>
      <rPr>
        <b/>
        <sz val="9"/>
        <rFont val="Arial"/>
        <family val="2"/>
      </rPr>
      <t xml:space="preserve">Tamar Valley Combined Cycle: </t>
    </r>
    <r>
      <rPr>
        <sz val="9"/>
        <rFont val="Arial"/>
        <family val="2"/>
      </rPr>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r>
  </si>
  <si>
    <t>•       45 MW during summer 2015-16 due to outages of Units 4,5 and 6, specifically between 7/9/2015 and 4/12/2015 due to a major refurbishment project.</t>
  </si>
  <si>
    <t>•       45 MW during summer 2015-16 due to outages of Units 1,2 and 3, specifically between 1/2/2016 and 30/4/2016 due to a major refurbishment project.</t>
  </si>
  <si>
    <r>
      <rPr>
        <b/>
        <sz val="9"/>
        <rFont val="Arial"/>
        <family val="2"/>
      </rPr>
      <t xml:space="preserve">Tungatinah Power Station: </t>
    </r>
    <r>
      <rPr>
        <sz val="9"/>
        <rFont val="Arial"/>
        <family val="2"/>
      </rPr>
      <t>Hydro-Electric Corporation advises that Tungatinah’s available capacity will be:</t>
    </r>
  </si>
  <si>
    <t>•       104.4 MW during summer 2019–20 due to outages of Unit 3.</t>
  </si>
  <si>
    <t>•       78.3 MW during summer 2014-15 due to outages of Unit 4 and Unit 5.</t>
  </si>
  <si>
    <t>•       104.4 MW during summer 2015-16 due to outages of Unit 4, specifically between 30/11/2015-17/6/2016 due to a major refurbishment project.</t>
  </si>
  <si>
    <r>
      <t xml:space="preserve">Tamar Valley CCGT: </t>
    </r>
    <r>
      <rPr>
        <sz val="9"/>
        <rFont val="Arial"/>
        <family val="2"/>
      </rPr>
      <t>Hydro Tasmania have advised that Tamar Valley CCGT (208 MW) unit is currently in dry lay up. On 13 August 2015, the Tasmanian Government gave approval for Hydro Tasmania to decommission and sell the combined cycle gas turbine.</t>
    </r>
  </si>
  <si>
    <r>
      <t xml:space="preserve">Tamar Valley Peaking: </t>
    </r>
    <r>
      <rPr>
        <sz val="9"/>
        <rFont val="Arial"/>
        <family val="2"/>
      </rPr>
      <t>Hydro Tasmania have advised that Tamar Valley Peaking (58 MW) unit is currently withdrawn and is  to return back to service in June 2016.</t>
    </r>
  </si>
  <si>
    <r>
      <t xml:space="preserve">Bell Bay Three Power Station: </t>
    </r>
    <r>
      <rPr>
        <sz val="9"/>
        <rFont val="Arial"/>
        <family val="2"/>
      </rPr>
      <t>Hydro Tasmania have advised that Bell Bay Three Power Stations available capacity will be 75 MW (-45 MW) for Summer 2015-16, 2016-17 and Winter 2016, 2017. Hydro Tasmania also advised the power station is to be withdrawn from service from 1 January 2018 and onwards.</t>
    </r>
  </si>
  <si>
    <r>
      <t xml:space="preserve">Tamar Valley CCGT: </t>
    </r>
    <r>
      <rPr>
        <sz val="9"/>
        <rFont val="Arial"/>
        <family val="2"/>
      </rPr>
      <t>Hydro Tasmania have advised that Tamar Valley CCGT (208 MW) unit has been recommissioned and running since 19 January 2016.</t>
    </r>
  </si>
  <si>
    <r>
      <t xml:space="preserve">Tamar Valley OCGT: </t>
    </r>
    <r>
      <rPr>
        <sz val="9"/>
        <rFont val="Arial"/>
        <family val="2"/>
      </rPr>
      <t>Hydro Tasmania have advised that Tamar Valley Peaking (58 MW) unit is currently withdrawn and is  to return back to service in April 2016.</t>
    </r>
  </si>
  <si>
    <r>
      <t xml:space="preserve">Bell Bay Three Power Station: </t>
    </r>
    <r>
      <rPr>
        <sz val="9"/>
        <rFont val="Arial"/>
        <family val="2"/>
      </rPr>
      <t>Hydro Tasmania have advised that Bell Bay Three Power Stations available capacity will be 105 MW (15 MW) for Summer 2015-16, 2016-17 and Winter 2016, 2017. Hydro Tasmania also advised the power station is to be withdrawn from service from 1 January 2018 and onwards.</t>
    </r>
  </si>
  <si>
    <r>
      <t xml:space="preserve">Tamar Valley OCGT: </t>
    </r>
    <r>
      <rPr>
        <sz val="9"/>
        <rFont val="Arial"/>
        <family val="2"/>
      </rPr>
      <t>Hydro Tasmania have advised that Tamar Valley Peaking (58 MW) unit is currently withdrawn and is to return back to service in April 2016.</t>
    </r>
  </si>
  <si>
    <r>
      <t xml:space="preserve">Bell Bay Power Station: </t>
    </r>
    <r>
      <rPr>
        <sz val="9"/>
        <rFont val="Arial"/>
        <family val="2"/>
      </rPr>
      <t>Hydro Tasmania advises that Bell Bay  Power Station (105 MW) will no longer be withdrawn from service from 1 January 2018 onwards.</t>
    </r>
  </si>
  <si>
    <r>
      <t xml:space="preserve">Tamar Valley CCGT : </t>
    </r>
    <r>
      <rPr>
        <sz val="9"/>
        <rFont val="Arial"/>
        <family val="2"/>
      </rPr>
      <t>Hydro Tasmania advises that Tamar Valley CCGT (208 MW) has been withdrawn from service since May 2016.</t>
    </r>
  </si>
  <si>
    <r>
      <t>Tamar Valley CCGT:</t>
    </r>
    <r>
      <rPr>
        <sz val="9"/>
        <rFont val="Arial"/>
        <family val="2"/>
      </rPr>
      <t xml:space="preserve"> Hydro Tasmania advises that the Tamar Valley CCGT (208 MW) is available for operation with less than 3 months' notice and will next return to service in summer 2016-17.</t>
    </r>
  </si>
  <si>
    <r>
      <rPr>
        <b/>
        <sz val="9"/>
        <rFont val="Arial"/>
        <family val="2"/>
      </rPr>
      <t>Tamar Valley CCGT:</t>
    </r>
    <r>
      <rPr>
        <sz val="9"/>
        <rFont val="Arial"/>
        <family val="2"/>
      </rPr>
      <t xml:space="preserve"> Hydro Tasmania advises that the Tamar Valley CCGT (208 MW) has returned to service in summer 2016-17. It will be withdrawn after summer 2016-17, but available for operation with less than 3 months' notice.</t>
    </r>
  </si>
  <si>
    <r>
      <rPr>
        <b/>
        <sz val="9"/>
        <rFont val="Arial"/>
        <family val="2"/>
      </rPr>
      <t>Tamar Valley CCGT:</t>
    </r>
    <r>
      <rPr>
        <sz val="9"/>
        <rFont val="Arial"/>
        <family val="2"/>
      </rPr>
      <t xml:space="preserve"> Hydro Tasmania advises that the Tamar Valley CCGT (208 MW) will be withdrawn after April 2018, but is available for operation with less than 3 months' notice.</t>
    </r>
  </si>
  <si>
    <t>Data presented is current as at 1 July 2018</t>
  </si>
  <si>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</si>
  <si>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</si>
  <si>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</si>
  <si>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</si>
  <si>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</si>
  <si>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</si>
  <si>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</si>
  <si>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</si>
  <si>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</si>
  <si>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</si>
  <si>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</si>
  <si>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</si>
  <si>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</si>
  <si>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</si>
  <si>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</si>
  <si>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</si>
  <si>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</si>
  <si>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</si>
  <si>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</si>
  <si>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</si>
  <si>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</si>
  <si>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</si>
  <si>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</si>
  <si>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</si>
  <si>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</si>
  <si>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</si>
  <si>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</si>
  <si>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</si>
  <si>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Wild Cattle Hill Wind Farm:</t>
    </r>
    <r>
      <rPr>
        <sz val="9"/>
        <rFont val="Arial"/>
        <family val="2"/>
      </rPr>
      <t xml:space="preserve"> Wild Cattle Hill Wind Farm (144 MW) is now reported as committed as Wild Cattle Hill Pty Ltd advises construction has commenced.</t>
    </r>
  </si>
  <si>
    <r>
      <t xml:space="preserve">Wind: </t>
    </r>
    <r>
      <rPr>
        <sz val="9"/>
        <rFont val="Arial"/>
        <family val="2"/>
      </rPr>
      <t xml:space="preserve">Granville Harbour Wind Farm (111.6 MW), Wild Cattle Hill Wind Farm (144 MW) </t>
    </r>
  </si>
  <si>
    <t>St Patrick's College Launceston</t>
  </si>
  <si>
    <t>PV Panels</t>
  </si>
  <si>
    <t>Summer aggregate available scheduled and semi-scheduled generation</t>
  </si>
  <si>
    <t>PowerStation</t>
  </si>
  <si>
    <t>FuelType</t>
  </si>
  <si>
    <t>Season</t>
  </si>
  <si>
    <t>Hydro</t>
  </si>
  <si>
    <t>summer</t>
  </si>
  <si>
    <t>Fossil</t>
  </si>
  <si>
    <t>The table above lists the latest Summer capacities for Tasmanian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</si>
  <si>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10.5% of the installed capacity during summer, and 7.3% during winter, based on AEMO's analysis of historical wind output over summer 2012-13 to 2016-17, and winter 2013 - 2017.</t>
  </si>
  <si>
    <t>The two tables below have been included to better represent the supply availability in Tasmania,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</si>
  <si>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</si>
  <si>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</si>
  <si>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Summer aggregate available semi-scheduled generation</t>
  </si>
  <si>
    <t>Total (Wind)</t>
  </si>
  <si>
    <t>Winter aggregate available scheduled and semi-scheduled generation</t>
  </si>
  <si>
    <t>winter</t>
  </si>
  <si>
    <t>The table above lists the latest Winter capacities for Tasmanian generation. Winter conditions relate to statistically predicted contribution under 10% POE maximum demand conditions.</t>
  </si>
  <si>
    <t>The two tables below have been included to better represent the supply availability in Tasmania,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</si>
  <si>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</si>
  <si>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</si>
  <si>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Western Plains Wind Farm</t>
  </si>
  <si>
    <t>Units 1 - 13</t>
  </si>
  <si>
    <t>Spark Ignition  Reciprocating Engine</t>
  </si>
  <si>
    <t>Source</t>
  </si>
  <si>
    <t>http://epuron.com.au/solar/george-town-solar/</t>
  </si>
  <si>
    <t>http://www.westcoastwind.com.au/</t>
  </si>
  <si>
    <t xml:space="preserve">http://epuron.com.au/solar/wesley-vale-solar/ </t>
  </si>
  <si>
    <t>http://epuron.com.au/wind/stanley-wind-farm/</t>
  </si>
  <si>
    <t xml:space="preserve">Summer 2019-20_x000D_
</t>
  </si>
  <si>
    <t xml:space="preserve"> </t>
  </si>
  <si>
    <t>Generation capacity in the NEM</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</si>
  <si>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</si>
  <si>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</si>
  <si>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</si>
  <si>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 Solar excludes rooftop PV installations</t>
  </si>
  <si>
    <t>Solar*</t>
  </si>
  <si>
    <t>DispatchType</t>
  </si>
  <si>
    <t>2019</t>
  </si>
  <si>
    <t>2020</t>
  </si>
  <si>
    <t>2021</t>
  </si>
  <si>
    <t>2022</t>
  </si>
  <si>
    <t>2023</t>
  </si>
  <si>
    <t>2024</t>
  </si>
  <si>
    <t>2025</t>
  </si>
  <si>
    <t>2026</t>
  </si>
  <si>
    <t>2027</t>
  </si>
  <si>
    <t>2028</t>
  </si>
  <si>
    <t>Bluff Point Wind Farm</t>
  </si>
  <si>
    <t>Woolnorth Wind Farm Holding</t>
  </si>
  <si>
    <t/>
  </si>
  <si>
    <t>5</t>
  </si>
  <si>
    <t>Robbins Island Wind Farm</t>
  </si>
  <si>
    <t>UPC Renewables</t>
  </si>
  <si>
    <t>440</t>
  </si>
  <si>
    <t>http://www.upcrenewables.com/projects/robbins-island-600-1000mw-australia/</t>
  </si>
  <si>
    <t>Epuron Projects Pty Ltd</t>
  </si>
  <si>
    <t>40 - 60</t>
  </si>
  <si>
    <t>Battery of the Nation - Stage 1</t>
  </si>
  <si>
    <t>Hydro Tasmania</t>
  </si>
  <si>
    <t>TBD</t>
  </si>
  <si>
    <t>300</t>
  </si>
  <si>
    <t>Battery of the Nation - Stage 2</t>
  </si>
  <si>
    <t>600</t>
  </si>
  <si>
    <t>Battery of the Nation - Stage 3</t>
  </si>
  <si>
    <t>Battery of the Nation - Stage 4</t>
  </si>
  <si>
    <t>500</t>
  </si>
  <si>
    <t>Battery of the Nation - Stage 5</t>
  </si>
  <si>
    <t>2</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</si>
  <si>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</si>
  <si>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</si>
  <si>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</si>
  <si>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</si>
  <si>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</si>
  <si>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</si>
  <si>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</si>
  <si>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</si>
  <si>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</si>
  <si>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</si>
  <si>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</si>
  <si>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</si>
  <si>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</si>
  <si>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</si>
  <si>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</si>
  <si>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</si>
  <si>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Unit Number and Nameplate Capacity (MW)</t>
  </si>
  <si>
    <t>Musselroe Wind Farm</t>
  </si>
  <si>
    <t>Midlands Hydro</t>
  </si>
  <si>
    <t>2018-19</t>
  </si>
  <si>
    <t>2019-20</t>
  </si>
  <si>
    <t>2020-21</t>
  </si>
  <si>
    <t>2021-22</t>
  </si>
  <si>
    <t>2022-23</t>
  </si>
  <si>
    <t>2023-24</t>
  </si>
  <si>
    <t>2024-25</t>
  </si>
  <si>
    <t>2025-26</t>
  </si>
  <si>
    <t>2026-27</t>
  </si>
  <si>
    <t>2027-28</t>
  </si>
  <si>
    <r>
      <rPr>
        <b/>
        <sz val="9"/>
        <color theme="1"/>
        <rFont val="Arial"/>
        <family val="2"/>
      </rPr>
      <t>TasWind (King Island):</t>
    </r>
    <r>
      <rPr>
        <sz val="9"/>
        <color theme="1"/>
        <rFont val="Arial"/>
        <family val="2"/>
      </rPr>
      <t xml:space="preserve">  Hydro Tasmania advises that the TasWind (King Island) project is publicly announced.</t>
    </r>
  </si>
  <si>
    <t>Granville Harbour Wind Farm_x000D_</t>
  </si>
  <si>
    <t>Note: Updated “Background Information” with changes to categories of proposed generation in the 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</si>
</sst>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7">
    <font>
      <sz val="11"/>
      <color rgb="FF000000"/>
      <name val="Calibri"/>
      <family val="2"/>
      <scheme val="minor"/>
    </font>
    <font>
      <sz val="11"/>
      <color theme="1"/>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b/>
      <sz val="8"/>
      <color theme="0"/>
      <name val="Arial"/>
      <family val="2"/>
    </font>
    <font>
      <u/>
      <sz val="11"/>
      <color theme="10"/>
      <name val="Calibri"/>
      <family val="2"/>
      <scheme val="minor"/>
    </font>
    <font>
      <u/>
      <sz val="10"/>
      <color theme="10"/>
      <name val="Arial"/>
      <family val="2"/>
    </font>
    <font>
      <b/>
      <sz val="10"/>
      <name val="Arial"/>
      <family val="2"/>
    </font>
    <font>
      <b/>
      <sz val="11"/>
      <color rgb="FFF47321"/>
      <name val="Arial"/>
      <family val="2"/>
    </font>
    <font>
      <sz val="9"/>
      <name val="Arial"/>
      <family val="2"/>
    </font>
    <font>
      <b/>
      <sz val="9"/>
      <name val="Arial"/>
      <family val="2"/>
    </font>
    <font>
      <b/>
      <sz val="9"/>
      <color rgb="FFF47321"/>
      <name val="Arial"/>
      <family val="2"/>
    </font>
    <font>
      <sz val="11"/>
      <color theme="1"/>
      <name val="Arial"/>
      <family val="2"/>
    </font>
    <font>
      <sz val="11"/>
      <name val="Arial"/>
      <family val="2"/>
    </font>
    <font>
      <sz val="9"/>
      <name val="Symbol"/>
      <family val="1"/>
      <charset val="2"/>
    </font>
    <font>
      <sz val="7"/>
      <name val="Times New Roman"/>
      <family val="1"/>
    </font>
    <font>
      <sz val="9"/>
      <color rgb="FF000000"/>
      <name val="Symbol"/>
      <family val="1"/>
      <charset val="2"/>
    </font>
    <font>
      <sz val="7"/>
      <color rgb="FF000000"/>
      <name val="Times New Roman"/>
      <family val="1"/>
    </font>
    <font>
      <sz val="9"/>
      <color rgb="FF000000"/>
      <name val="Arial"/>
      <family val="2"/>
    </font>
    <font>
      <b/>
      <sz val="9"/>
      <color theme="1"/>
      <name val="Arial"/>
      <family val="2"/>
    </font>
    <font>
      <sz val="9"/>
      <color theme="1"/>
      <name val="Arial"/>
      <family val="2"/>
    </font>
    <font>
      <sz val="9"/>
      <color theme="1"/>
      <name val="Symbol"/>
      <family val="1"/>
      <charset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name val="Calibri"/>
      <family val="2"/>
      <scheme val="minor"/>
    </font>
    <font>
      <b/>
      <sz val="8"/>
      <color theme="1"/>
      <name val="Arial"/>
      <family val="2"/>
    </font>
  </fonts>
  <fills count="12">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s>
  <borders count="20">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diagonal/>
    </border>
    <border>
      <left style="medium">
        <color rgb="FFFFFFFF"/>
      </left>
      <right style="medium">
        <color rgb="FFFFFFFF"/>
      </right>
      <top/>
      <bottom/>
      <diagonal/>
    </border>
  </borders>
  <cellStyleXfs count="6">
    <xf numFmtId="0" fontId="0" fillId="0" borderId="0"/>
    <xf numFmtId="43" fontId="9" fillId="0" borderId="0" applyFont="0" applyFill="0" applyBorder="0" applyAlignment="0" applyProtection="0"/>
    <xf numFmtId="0" fontId="11" fillId="0" borderId="0" applyNumberFormat="0" applyFill="0" applyBorder="0" applyAlignment="0" applyProtection="0"/>
    <xf numFmtId="0" fontId="18" fillId="0" borderId="0"/>
    <xf numFmtId="0" fontId="9" fillId="0" borderId="0"/>
    <xf numFmtId="43" fontId="9" fillId="0" borderId="0" applyFont="0" applyFill="0" applyBorder="0" applyAlignment="0" applyProtection="0"/>
  </cellStyleXfs>
  <cellXfs count="179">
    <xf numFmtId="0" fontId="0" fillId="0" borderId="0" xfId="0"/>
    <xf numFmtId="0" fontId="2" fillId="0" borderId="1" xfId="0" applyFont="1" applyBorder="1" applyAlignment="1">
      <alignment horizontal="left"/>
    </xf>
    <xf numFmtId="0" fontId="3"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2" xfId="0" applyFont="1" applyBorder="1"/>
    <xf numFmtId="0" fontId="7" fillId="0" borderId="3" xfId="0" applyFont="1" applyBorder="1" applyAlignment="1">
      <alignment horizontal="left"/>
    </xf>
    <xf numFmtId="0" fontId="6" fillId="0" borderId="4" xfId="0" applyFont="1" applyBorder="1"/>
    <xf numFmtId="0" fontId="0" fillId="0" borderId="0" xfId="0"/>
    <xf numFmtId="0" fontId="6" fillId="0" borderId="0" xfId="0" applyFont="1" applyBorder="1"/>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0" xfId="0"/>
    <xf numFmtId="0" fontId="5" fillId="7" borderId="1" xfId="0" applyNumberFormat="1"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5" fillId="8" borderId="8" xfId="0" quotePrefix="1" applyNumberFormat="1" applyFont="1" applyFill="1" applyBorder="1" applyAlignment="1">
      <alignment horizontal="center" vertical="center"/>
    </xf>
    <xf numFmtId="0" fontId="5" fillId="7" borderId="8" xfId="0" applyNumberFormat="1" applyFont="1" applyFill="1" applyBorder="1" applyAlignment="1">
      <alignment horizontal="center" vertical="center"/>
    </xf>
    <xf numFmtId="0" fontId="4" fillId="6" borderId="1" xfId="0" applyNumberFormat="1" applyFont="1" applyFill="1" applyBorder="1" applyAlignment="1">
      <alignment horizontal="left" vertical="center" wrapText="1"/>
    </xf>
    <xf numFmtId="0" fontId="4" fillId="6" borderId="8" xfId="0" applyNumberFormat="1" applyFont="1" applyFill="1" applyBorder="1" applyAlignment="1">
      <alignment horizontal="left" vertical="center" wrapText="1"/>
    </xf>
    <xf numFmtId="0" fontId="5" fillId="8" borderId="1" xfId="0" applyNumberFormat="1" applyFont="1" applyFill="1" applyBorder="1" applyAlignment="1">
      <alignment horizontal="center" vertical="center" wrapText="1"/>
    </xf>
    <xf numFmtId="0" fontId="5" fillId="8" borderId="8" xfId="0" applyNumberFormat="1" applyFont="1" applyFill="1" applyBorder="1" applyAlignment="1">
      <alignment horizontal="center" vertical="center" wrapText="1"/>
    </xf>
    <xf numFmtId="1" fontId="5" fillId="8" borderId="1" xfId="0" applyNumberFormat="1" applyFont="1" applyFill="1" applyBorder="1" applyAlignment="1">
      <alignment horizontal="center" vertical="center"/>
    </xf>
    <xf numFmtId="1" fontId="5" fillId="8" borderId="8" xfId="0" applyNumberFormat="1" applyFont="1" applyFill="1" applyBorder="1" applyAlignment="1">
      <alignment horizontal="center" vertical="center"/>
    </xf>
    <xf numFmtId="0" fontId="8" fillId="0" borderId="0" xfId="0" applyFont="1"/>
    <xf numFmtId="0" fontId="0" fillId="0" borderId="0" xfId="0"/>
    <xf numFmtId="0" fontId="6" fillId="0" borderId="4" xfId="0" applyFont="1" applyBorder="1" applyAlignment="1">
      <alignment vertical="top" wrapText="1"/>
    </xf>
    <xf numFmtId="0" fontId="6" fillId="0" borderId="0" xfId="0" applyFont="1" applyBorder="1" applyAlignment="1">
      <alignment vertical="top" wrapText="1"/>
    </xf>
    <xf numFmtId="0" fontId="6" fillId="0" borderId="10" xfId="0" applyFont="1" applyBorder="1" applyAlignment="1">
      <alignment vertical="top" wrapText="1"/>
    </xf>
    <xf numFmtId="0" fontId="12" fillId="0" borderId="0" xfId="2" applyFont="1" applyBorder="1" applyAlignment="1">
      <alignment horizontal="left" vertical="top" wrapText="1"/>
    </xf>
    <xf numFmtId="0" fontId="13" fillId="0" borderId="0" xfId="0" applyFont="1" applyBorder="1" applyAlignment="1">
      <alignment horizontal="left"/>
    </xf>
    <xf numFmtId="0" fontId="14" fillId="9" borderId="0" xfId="0" applyFont="1" applyFill="1" applyAlignment="1">
      <alignment horizontal="left" vertical="center"/>
    </xf>
    <xf numFmtId="0" fontId="0" fillId="9" borderId="0" xfId="0" applyFill="1"/>
    <xf numFmtId="0" fontId="0" fillId="0" borderId="0" xfId="0" applyBorder="1"/>
    <xf numFmtId="0" fontId="15" fillId="9" borderId="0" xfId="0" applyFont="1" applyFill="1" applyAlignment="1">
      <alignment horizontal="left" vertical="center" wrapText="1"/>
    </xf>
    <xf numFmtId="0" fontId="17" fillId="10" borderId="0" xfId="0" applyFont="1" applyFill="1" applyAlignment="1">
      <alignment vertical="center"/>
    </xf>
    <xf numFmtId="0" fontId="14" fillId="10" borderId="0" xfId="0" applyFont="1" applyFill="1" applyAlignment="1">
      <alignment vertical="center"/>
    </xf>
    <xf numFmtId="0" fontId="16" fillId="9" borderId="0" xfId="0" applyFont="1" applyFill="1" applyAlignment="1">
      <alignment horizontal="left" vertical="center" wrapText="1"/>
    </xf>
    <xf numFmtId="0" fontId="15" fillId="9" borderId="0" xfId="0" applyFont="1" applyFill="1"/>
    <xf numFmtId="0" fontId="16" fillId="0" borderId="0" xfId="0" applyFont="1" applyFill="1" applyAlignment="1">
      <alignment vertical="center"/>
    </xf>
    <xf numFmtId="0" fontId="19" fillId="0" borderId="0" xfId="0" applyFont="1" applyFill="1"/>
    <xf numFmtId="0" fontId="20" fillId="0" borderId="0" xfId="0" applyFont="1" applyFill="1" applyAlignment="1">
      <alignment horizontal="left" vertical="center" indent="2"/>
    </xf>
    <xf numFmtId="49" fontId="20" fillId="0" borderId="0" xfId="0" applyNumberFormat="1" applyFont="1" applyFill="1" applyAlignment="1">
      <alignment horizontal="left" vertical="center" indent="2"/>
    </xf>
    <xf numFmtId="0" fontId="22" fillId="0" borderId="0" xfId="0" applyFont="1" applyFill="1" applyAlignment="1">
      <alignment horizontal="left" vertical="center" indent="2"/>
    </xf>
    <xf numFmtId="0" fontId="15" fillId="0" borderId="0" xfId="0" applyFont="1" applyFill="1" applyAlignment="1">
      <alignment horizontal="left" vertical="center" indent="2"/>
    </xf>
    <xf numFmtId="164" fontId="5" fillId="4" borderId="1" xfId="1" applyNumberFormat="1" applyFont="1" applyFill="1" applyBorder="1" applyAlignment="1">
      <alignment horizontal="center" vertical="center"/>
    </xf>
    <xf numFmtId="164" fontId="5" fillId="5" borderId="1" xfId="1" applyNumberFormat="1" applyFont="1" applyFill="1" applyBorder="1" applyAlignment="1">
      <alignment horizontal="center" vertical="center"/>
    </xf>
    <xf numFmtId="0" fontId="15" fillId="9" borderId="0" xfId="0" applyFont="1" applyFill="1" applyAlignment="1">
      <alignment vertical="center"/>
    </xf>
    <xf numFmtId="15" fontId="25" fillId="9" borderId="0" xfId="0" applyNumberFormat="1" applyFont="1" applyFill="1"/>
    <xf numFmtId="0" fontId="0" fillId="9" borderId="0" xfId="0" applyFont="1" applyFill="1"/>
    <xf numFmtId="0" fontId="26" fillId="9" borderId="0" xfId="0" applyFont="1" applyFill="1" applyAlignment="1">
      <alignment horizontal="left" wrapText="1"/>
    </xf>
    <xf numFmtId="15" fontId="25" fillId="9" borderId="0" xfId="0" applyNumberFormat="1" applyFont="1" applyFill="1" applyAlignment="1">
      <alignment vertical="center"/>
    </xf>
    <xf numFmtId="0" fontId="19" fillId="9" borderId="0" xfId="0" applyFont="1" applyFill="1"/>
    <xf numFmtId="15" fontId="16" fillId="9" borderId="0" xfId="0" applyNumberFormat="1" applyFont="1" applyFill="1"/>
    <xf numFmtId="0" fontId="4" fillId="6" borderId="16" xfId="0" applyNumberFormat="1" applyFont="1" applyFill="1" applyBorder="1" applyAlignment="1">
      <alignment horizontal="left" vertical="center" wrapText="1"/>
    </xf>
    <xf numFmtId="0" fontId="5" fillId="7" borderId="16" xfId="0" applyNumberFormat="1" applyFont="1" applyFill="1" applyBorder="1" applyAlignment="1">
      <alignment horizontal="center" vertical="center" wrapText="1"/>
    </xf>
    <xf numFmtId="1" fontId="5" fillId="8" borderId="16" xfId="0" applyNumberFormat="1" applyFont="1" applyFill="1" applyBorder="1" applyAlignment="1">
      <alignment horizontal="center" vertical="center"/>
    </xf>
    <xf numFmtId="0" fontId="35" fillId="9" borderId="0" xfId="0" applyFont="1" applyFill="1"/>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0" fontId="32" fillId="3" borderId="1" xfId="0" applyFont="1" applyFill="1" applyBorder="1" applyAlignment="1">
      <alignment horizontal="left" vertical="center" wrapText="1"/>
    </xf>
    <xf numFmtId="1" fontId="3" fillId="4" borderId="1" xfId="0" applyNumberFormat="1" applyFont="1" applyFill="1" applyBorder="1" applyAlignment="1">
      <alignment horizontal="center" vertical="center"/>
    </xf>
    <xf numFmtId="0" fontId="36" fillId="2" borderId="1" xfId="0" applyFont="1" applyFill="1" applyBorder="1" applyAlignment="1">
      <alignment horizontal="center" vertical="center" wrapText="1"/>
    </xf>
    <xf numFmtId="0" fontId="2" fillId="9" borderId="1" xfId="0" applyFont="1" applyFill="1" applyBorder="1" applyAlignment="1">
      <alignment horizontal="left"/>
    </xf>
    <xf numFmtId="1" fontId="0" fillId="9" borderId="0" xfId="0" applyNumberFormat="1" applyFill="1"/>
    <xf numFmtId="0" fontId="1" fillId="9" borderId="0" xfId="0" applyFont="1" applyFill="1"/>
    <xf numFmtId="0" fontId="4" fillId="3" borderId="5" xfId="0" applyFont="1" applyFill="1" applyBorder="1" applyAlignment="1">
      <alignment horizontal="left" vertical="center" wrapText="1"/>
    </xf>
    <xf numFmtId="1" fontId="5" fillId="5" borderId="6" xfId="0" applyNumberFormat="1" applyFont="1" applyFill="1" applyBorder="1" applyAlignment="1">
      <alignment horizontal="center" vertical="center"/>
    </xf>
    <xf numFmtId="0" fontId="36"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4" fillId="3" borderId="17" xfId="0" applyFont="1" applyFill="1" applyBorder="1" applyAlignment="1">
      <alignment horizontal="left" vertical="center" wrapText="1"/>
    </xf>
    <xf numFmtId="1" fontId="5" fillId="4" borderId="16" xfId="0" applyNumberFormat="1" applyFont="1" applyFill="1" applyBorder="1" applyAlignment="1">
      <alignment horizontal="center" vertical="center"/>
    </xf>
    <xf numFmtId="1" fontId="5" fillId="5" borderId="16" xfId="0" applyNumberFormat="1" applyFont="1" applyFill="1" applyBorder="1" applyAlignment="1">
      <alignment horizontal="center" vertical="center"/>
    </xf>
    <xf numFmtId="1" fontId="5" fillId="5" borderId="18" xfId="0" applyNumberFormat="1" applyFont="1" applyFill="1" applyBorder="1" applyAlignment="1">
      <alignment horizontal="center" vertical="center"/>
    </xf>
    <xf numFmtId="0" fontId="0" fillId="9" borderId="0" xfId="0" applyFill="1"/>
    <xf numFmtId="1" fontId="5" fillId="7" borderId="1" xfId="0" applyNumberFormat="1" applyFont="1" applyFill="1" applyBorder="1" applyAlignment="1">
      <alignment horizontal="center" vertical="center"/>
    </xf>
    <xf numFmtId="1" fontId="5" fillId="7" borderId="8" xfId="0" applyNumberFormat="1" applyFont="1" applyFill="1" applyBorder="1" applyAlignment="1">
      <alignment horizontal="center" vertical="center"/>
    </xf>
    <xf numFmtId="1" fontId="5" fillId="7" borderId="16" xfId="0" applyNumberFormat="1" applyFont="1" applyFill="1" applyBorder="1" applyAlignment="1">
      <alignment horizontal="center" vertical="center"/>
    </xf>
    <xf numFmtId="0" fontId="4" fillId="6" borderId="5" xfId="0" applyNumberFormat="1" applyFont="1" applyFill="1" applyBorder="1" applyAlignment="1">
      <alignment horizontal="left" vertical="center" wrapText="1"/>
    </xf>
    <xf numFmtId="0" fontId="4" fillId="6" borderId="7" xfId="0" applyNumberFormat="1" applyFont="1" applyFill="1" applyBorder="1" applyAlignment="1">
      <alignment horizontal="left" vertical="center" wrapText="1"/>
    </xf>
    <xf numFmtId="0" fontId="4" fillId="6" borderId="17" xfId="0" applyNumberFormat="1" applyFont="1" applyFill="1" applyBorder="1" applyAlignment="1">
      <alignment horizontal="left" vertical="center" wrapText="1"/>
    </xf>
    <xf numFmtId="1" fontId="5" fillId="8" borderId="6" xfId="0" applyNumberFormat="1" applyFont="1" applyFill="1" applyBorder="1" applyAlignment="1">
      <alignment horizontal="center" vertical="center"/>
    </xf>
    <xf numFmtId="1" fontId="5" fillId="8" borderId="9" xfId="0" applyNumberFormat="1" applyFont="1" applyFill="1" applyBorder="1" applyAlignment="1">
      <alignment horizontal="center" vertical="center"/>
    </xf>
    <xf numFmtId="1" fontId="5" fillId="8" borderId="18" xfId="0" applyNumberFormat="1" applyFont="1" applyFill="1" applyBorder="1" applyAlignment="1">
      <alignment horizontal="center" vertical="center"/>
    </xf>
    <xf numFmtId="0" fontId="15" fillId="9" borderId="0" xfId="0" applyFont="1" applyFill="1" applyAlignment="1">
      <alignment horizontal="left" vertical="center" wrapText="1"/>
    </xf>
    <xf numFmtId="0" fontId="0" fillId="0" borderId="0" xfId="0"/>
    <xf numFmtId="0" fontId="0" fillId="0" borderId="0" xfId="0"/>
    <xf numFmtId="0" fontId="14" fillId="9" borderId="0" xfId="0" applyFont="1" applyFill="1" applyAlignment="1">
      <alignment horizontal="left" vertical="center"/>
    </xf>
    <xf numFmtId="0" fontId="19" fillId="9" borderId="0" xfId="0" applyFont="1" applyFill="1"/>
    <xf numFmtId="15" fontId="16" fillId="9" borderId="0" xfId="0" applyNumberFormat="1" applyFont="1" applyFill="1"/>
    <xf numFmtId="0" fontId="4" fillId="6" borderId="7" xfId="0" applyNumberFormat="1" applyFont="1" applyFill="1" applyBorder="1" applyAlignment="1">
      <alignment vertical="center"/>
    </xf>
    <xf numFmtId="0" fontId="5" fillId="7" borderId="8" xfId="0" applyNumberFormat="1" applyFont="1" applyFill="1" applyBorder="1" applyAlignment="1">
      <alignment vertical="center" wrapText="1"/>
    </xf>
    <xf numFmtId="0" fontId="5" fillId="8" borderId="8" xfId="0" quotePrefix="1" applyNumberFormat="1" applyFont="1" applyFill="1" applyBorder="1" applyAlignment="1">
      <alignment vertical="center"/>
    </xf>
    <xf numFmtId="0" fontId="5" fillId="7" borderId="8" xfId="0" applyNumberFormat="1" applyFont="1" applyFill="1" applyBorder="1" applyAlignment="1">
      <alignment vertical="center"/>
    </xf>
    <xf numFmtId="0" fontId="4" fillId="6" borderId="5" xfId="0" applyNumberFormat="1" applyFont="1" applyFill="1" applyBorder="1" applyAlignment="1">
      <alignment vertical="center"/>
    </xf>
    <xf numFmtId="0" fontId="5" fillId="7" borderId="1" xfId="0" applyNumberFormat="1" applyFont="1" applyFill="1" applyBorder="1" applyAlignment="1">
      <alignment vertical="center" wrapText="1"/>
    </xf>
    <xf numFmtId="0" fontId="5" fillId="8" borderId="1" xfId="0" quotePrefix="1" applyNumberFormat="1" applyFont="1" applyFill="1" applyBorder="1" applyAlignment="1">
      <alignment vertical="center"/>
    </xf>
    <xf numFmtId="0" fontId="5" fillId="7" borderId="1" xfId="0" applyNumberFormat="1" applyFont="1" applyFill="1" applyBorder="1" applyAlignment="1">
      <alignment vertical="center"/>
    </xf>
    <xf numFmtId="0" fontId="5" fillId="8" borderId="1" xfId="0" applyNumberFormat="1" applyFont="1" applyFill="1" applyBorder="1" applyAlignment="1">
      <alignment vertical="center"/>
    </xf>
    <xf numFmtId="0" fontId="0" fillId="9" borderId="0" xfId="0" applyFill="1"/>
    <xf numFmtId="0" fontId="31" fillId="2" borderId="1" xfId="0" applyFont="1" applyFill="1" applyBorder="1" applyAlignment="1">
      <alignment horizontal="center" vertical="center" wrapText="1"/>
    </xf>
    <xf numFmtId="0" fontId="35" fillId="9" borderId="0" xfId="0" applyFont="1" applyFill="1" applyAlignment="1">
      <alignment horizontal="left" vertical="top"/>
    </xf>
    <xf numFmtId="0" fontId="0" fillId="9" borderId="0" xfId="0" applyFill="1" applyAlignment="1">
      <alignment horizontal="left" vertical="top"/>
    </xf>
    <xf numFmtId="165" fontId="5" fillId="7" borderId="8" xfId="1" applyNumberFormat="1" applyFont="1" applyFill="1" applyBorder="1" applyAlignment="1">
      <alignment horizontal="center" vertical="center"/>
    </xf>
    <xf numFmtId="165" fontId="5" fillId="8" borderId="8" xfId="1" applyNumberFormat="1" applyFont="1" applyFill="1" applyBorder="1" applyAlignment="1">
      <alignment horizontal="center" vertical="center"/>
    </xf>
    <xf numFmtId="165" fontId="5" fillId="7" borderId="1" xfId="1" applyNumberFormat="1" applyFont="1" applyFill="1" applyBorder="1" applyAlignment="1">
      <alignment horizontal="center" vertical="center"/>
    </xf>
    <xf numFmtId="165" fontId="5" fillId="8" borderId="1" xfId="1" applyNumberFormat="1" applyFont="1" applyFill="1" applyBorder="1" applyAlignment="1">
      <alignment horizontal="center" vertical="center"/>
    </xf>
    <xf numFmtId="165" fontId="5" fillId="7" borderId="16" xfId="1" applyNumberFormat="1" applyFont="1" applyFill="1" applyBorder="1" applyAlignment="1">
      <alignment horizontal="center" vertical="center"/>
    </xf>
    <xf numFmtId="165" fontId="5" fillId="8" borderId="16" xfId="1" applyNumberFormat="1" applyFont="1" applyFill="1" applyBorder="1" applyAlignment="1">
      <alignment horizontal="center" vertical="center"/>
    </xf>
    <xf numFmtId="165" fontId="0" fillId="9" borderId="0" xfId="1" applyNumberFormat="1" applyFont="1" applyFill="1"/>
    <xf numFmtId="165" fontId="3" fillId="4" borderId="1" xfId="1" applyNumberFormat="1" applyFont="1" applyFill="1" applyBorder="1" applyAlignment="1">
      <alignment horizontal="center" vertical="center"/>
    </xf>
    <xf numFmtId="165" fontId="5" fillId="4" borderId="1" xfId="1" applyNumberFormat="1" applyFont="1" applyFill="1" applyBorder="1" applyAlignment="1">
      <alignment horizontal="center" vertical="center"/>
    </xf>
    <xf numFmtId="165" fontId="5" fillId="5" borderId="1" xfId="1" applyNumberFormat="1" applyFont="1" applyFill="1" applyBorder="1" applyAlignment="1">
      <alignment horizontal="center" vertical="center"/>
    </xf>
    <xf numFmtId="165" fontId="5" fillId="4" borderId="16" xfId="1" applyNumberFormat="1" applyFont="1" applyFill="1" applyBorder="1" applyAlignment="1">
      <alignment horizontal="center" vertical="center"/>
    </xf>
    <xf numFmtId="165" fontId="5" fillId="5" borderId="16" xfId="1" applyNumberFormat="1" applyFont="1" applyFill="1" applyBorder="1" applyAlignment="1">
      <alignment horizontal="center" vertical="center"/>
    </xf>
    <xf numFmtId="0" fontId="4" fillId="6" borderId="17" xfId="0" applyNumberFormat="1" applyFont="1" applyFill="1" applyBorder="1" applyAlignment="1">
      <alignment vertical="center"/>
    </xf>
    <xf numFmtId="0" fontId="5" fillId="7" borderId="16" xfId="0" applyNumberFormat="1" applyFont="1" applyFill="1" applyBorder="1" applyAlignment="1">
      <alignment vertical="center" wrapText="1"/>
    </xf>
    <xf numFmtId="0" fontId="5" fillId="8" borderId="16" xfId="0" applyNumberFormat="1" applyFont="1" applyFill="1" applyBorder="1" applyAlignment="1">
      <alignment vertical="center"/>
    </xf>
    <xf numFmtId="0" fontId="5" fillId="7" borderId="16" xfId="0" applyNumberFormat="1" applyFont="1" applyFill="1" applyBorder="1" applyAlignment="1">
      <alignment vertical="center"/>
    </xf>
    <xf numFmtId="0" fontId="5" fillId="7" borderId="19" xfId="0" applyNumberFormat="1" applyFont="1" applyFill="1" applyBorder="1" applyAlignment="1">
      <alignment vertical="center"/>
    </xf>
    <xf numFmtId="0" fontId="5" fillId="8" borderId="19" xfId="0" applyNumberFormat="1" applyFont="1" applyFill="1" applyBorder="1" applyAlignment="1">
      <alignment horizontal="center" vertical="center"/>
    </xf>
    <xf numFmtId="0" fontId="5" fillId="7" borderId="19"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xf>
    <xf numFmtId="0" fontId="2" fillId="9" borderId="0" xfId="4" applyFont="1" applyFill="1" applyAlignment="1">
      <alignment horizontal="left" vertical="center"/>
    </xf>
    <xf numFmtId="0" fontId="9" fillId="9" borderId="0" xfId="4" applyFill="1"/>
    <xf numFmtId="0" fontId="15" fillId="9" borderId="0" xfId="4" applyFont="1" applyFill="1" applyAlignment="1">
      <alignment vertical="top" wrapText="1"/>
    </xf>
    <xf numFmtId="0" fontId="14" fillId="9" borderId="0" xfId="4" applyFont="1" applyFill="1" applyAlignment="1">
      <alignment vertical="center"/>
    </xf>
    <xf numFmtId="0" fontId="26" fillId="9" borderId="0" xfId="4" applyFont="1" applyFill="1" applyAlignment="1">
      <alignment vertical="center"/>
    </xf>
    <xf numFmtId="0" fontId="27" fillId="9" borderId="0" xfId="4" applyFont="1" applyFill="1" applyAlignment="1">
      <alignment horizontal="left" vertical="center" indent="2"/>
    </xf>
    <xf numFmtId="0" fontId="30" fillId="9" borderId="0" xfId="4" applyFont="1" applyFill="1" applyAlignment="1">
      <alignment vertical="center"/>
    </xf>
    <xf numFmtId="0" fontId="31" fillId="11" borderId="15" xfId="4" applyFont="1" applyFill="1" applyBorder="1" applyAlignment="1">
      <alignment horizontal="left" vertical="center"/>
    </xf>
    <xf numFmtId="0" fontId="31" fillId="11" borderId="14" xfId="4" applyFont="1" applyFill="1" applyBorder="1" applyAlignment="1">
      <alignment horizontal="left" vertical="center"/>
    </xf>
    <xf numFmtId="0" fontId="32" fillId="6" borderId="7" xfId="4" applyFont="1" applyFill="1" applyBorder="1" applyAlignment="1">
      <alignment vertical="center" wrapText="1"/>
    </xf>
    <xf numFmtId="0" fontId="33" fillId="9" borderId="14" xfId="4" applyFont="1" applyFill="1" applyBorder="1" applyAlignment="1">
      <alignment horizontal="center" vertical="center" wrapText="1"/>
    </xf>
    <xf numFmtId="0" fontId="34" fillId="9" borderId="0" xfId="4" applyFont="1" applyFill="1" applyAlignment="1">
      <alignment horizontal="justify" vertical="center"/>
    </xf>
    <xf numFmtId="0" fontId="2" fillId="9" borderId="0" xfId="4" applyFont="1" applyFill="1" applyAlignment="1">
      <alignment vertical="center"/>
    </xf>
    <xf numFmtId="0" fontId="9" fillId="9" borderId="0" xfId="4" applyFill="1" applyAlignment="1"/>
    <xf numFmtId="0" fontId="26" fillId="9" borderId="0" xfId="4" applyFont="1" applyFill="1" applyAlignment="1">
      <alignment horizontal="left" vertical="center" indent="2"/>
    </xf>
    <xf numFmtId="0" fontId="30" fillId="9" borderId="0" xfId="4" applyFont="1" applyFill="1" applyAlignment="1">
      <alignment horizontal="left" vertical="center"/>
    </xf>
    <xf numFmtId="0" fontId="10" fillId="9" borderId="7" xfId="4" applyFont="1" applyFill="1" applyBorder="1" applyAlignment="1">
      <alignment vertical="center"/>
    </xf>
    <xf numFmtId="0" fontId="5" fillId="7" borderId="19" xfId="0" applyNumberFormat="1" applyFont="1" applyFill="1" applyBorder="1" applyAlignment="1">
      <alignment horizontal="center" vertical="center" wrapText="1"/>
    </xf>
    <xf numFmtId="0" fontId="31" fillId="2" borderId="1" xfId="0" applyFont="1" applyFill="1" applyBorder="1" applyAlignment="1">
      <alignment horizontal="center" vertical="center"/>
    </xf>
    <xf numFmtId="0" fontId="12" fillId="0" borderId="11" xfId="2" applyFont="1" applyBorder="1" applyAlignment="1">
      <alignment horizontal="left" vertical="top" wrapText="1"/>
    </xf>
    <xf numFmtId="0" fontId="12" fillId="0" borderId="12" xfId="2" applyFont="1" applyBorder="1" applyAlignment="1">
      <alignment horizontal="left" vertical="top" wrapText="1"/>
    </xf>
    <xf numFmtId="0" fontId="12" fillId="0" borderId="13" xfId="2" applyFont="1" applyBorder="1" applyAlignment="1">
      <alignment horizontal="left" vertical="top" wrapText="1"/>
    </xf>
    <xf numFmtId="0" fontId="14" fillId="10" borderId="0" xfId="0" applyFont="1" applyFill="1" applyAlignment="1">
      <alignment horizontal="left" vertical="center"/>
    </xf>
    <xf numFmtId="0" fontId="15" fillId="9" borderId="0" xfId="3" applyFont="1" applyFill="1" applyAlignment="1">
      <alignment horizontal="left" vertical="center" wrapText="1"/>
    </xf>
    <xf numFmtId="0" fontId="15" fillId="9" borderId="0" xfId="0" applyFont="1" applyFill="1" applyAlignment="1">
      <alignment horizontal="left" vertical="center" wrapText="1"/>
    </xf>
    <xf numFmtId="0" fontId="16" fillId="0" borderId="0" xfId="0" applyFont="1" applyFill="1" applyAlignment="1">
      <alignment vertical="center"/>
    </xf>
    <xf numFmtId="0" fontId="16" fillId="9" borderId="0" xfId="0" applyFont="1" applyFill="1" applyAlignment="1">
      <alignment horizontal="left" vertical="top" wrapText="1"/>
    </xf>
    <xf numFmtId="0" fontId="15"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horizontal="left" vertical="center" wrapText="1"/>
    </xf>
    <xf numFmtId="0" fontId="5" fillId="0" borderId="0" xfId="0" applyFont="1" applyAlignment="1">
      <alignment wrapText="1"/>
    </xf>
    <xf numFmtId="0" fontId="0" fillId="0" borderId="0" xfId="0"/>
    <xf numFmtId="0" fontId="16" fillId="9" borderId="0" xfId="3" applyFont="1" applyFill="1" applyAlignment="1">
      <alignment horizontal="left" vertical="center" wrapText="1"/>
    </xf>
    <xf numFmtId="0" fontId="16" fillId="9" borderId="0" xfId="0" applyFont="1" applyFill="1" applyAlignment="1">
      <alignment horizontal="left" vertical="center" wrapText="1"/>
    </xf>
    <xf numFmtId="0" fontId="26" fillId="9" borderId="0" xfId="0" applyFont="1" applyFill="1" applyAlignment="1">
      <alignment horizontal="left" vertical="center" wrapText="1"/>
    </xf>
    <xf numFmtId="0" fontId="15" fillId="9" borderId="0" xfId="0" applyFont="1" applyFill="1" applyAlignment="1">
      <alignment vertical="center"/>
    </xf>
    <xf numFmtId="0" fontId="15" fillId="9" borderId="0" xfId="0" applyFont="1" applyFill="1" applyAlignment="1">
      <alignment vertical="center" wrapText="1"/>
    </xf>
    <xf numFmtId="0" fontId="16" fillId="9" borderId="0" xfId="0" applyFont="1" applyFill="1" applyAlignment="1">
      <alignment vertical="center" wrapText="1"/>
    </xf>
    <xf numFmtId="0" fontId="26" fillId="9" borderId="0" xfId="0" applyFont="1" applyFill="1" applyAlignment="1">
      <alignment horizontal="left" wrapText="1"/>
    </xf>
    <xf numFmtId="0" fontId="6" fillId="9" borderId="0" xfId="0" applyFont="1" applyFill="1" applyAlignment="1">
      <alignment horizontal="left" vertical="top" wrapText="1"/>
    </xf>
    <xf numFmtId="0" fontId="0" fillId="9" borderId="0" xfId="0" applyFill="1" applyAlignment="1">
      <alignment horizontal="left" vertical="top"/>
    </xf>
    <xf numFmtId="0" fontId="35" fillId="9" borderId="0" xfId="0" applyFont="1" applyFill="1" applyAlignment="1">
      <alignment horizontal="left" vertical="top" wrapText="1"/>
    </xf>
    <xf numFmtId="0" fontId="35" fillId="9" borderId="0" xfId="0" applyFont="1" applyFill="1" applyAlignment="1">
      <alignment horizontal="left" wrapText="1"/>
    </xf>
    <xf numFmtId="0" fontId="33" fillId="9" borderId="14" xfId="4" applyFont="1" applyFill="1" applyBorder="1" applyAlignment="1">
      <alignment horizontal="left" vertical="center" wrapText="1"/>
    </xf>
    <xf numFmtId="0" fontId="33" fillId="9" borderId="0" xfId="4" applyFont="1" applyFill="1" applyBorder="1" applyAlignment="1">
      <alignment horizontal="left" vertical="center" wrapText="1"/>
    </xf>
    <xf numFmtId="0" fontId="33" fillId="9" borderId="0" xfId="4" applyFont="1" applyFill="1" applyAlignment="1">
      <alignment horizontal="left" vertical="center" wrapText="1"/>
    </xf>
    <xf numFmtId="0" fontId="31" fillId="11" borderId="14" xfId="4" applyFont="1" applyFill="1" applyBorder="1" applyAlignment="1">
      <alignment horizontal="left" vertical="center"/>
    </xf>
    <xf numFmtId="0" fontId="31" fillId="11" borderId="0" xfId="4" applyFont="1" applyFill="1" applyBorder="1" applyAlignment="1">
      <alignment horizontal="left" vertical="center"/>
    </xf>
    <xf numFmtId="0" fontId="26" fillId="9" borderId="0" xfId="4" applyFont="1" applyFill="1" applyAlignment="1">
      <alignment horizontal="left" vertical="center" wrapText="1"/>
    </xf>
    <xf numFmtId="0" fontId="29" fillId="9" borderId="0" xfId="4" applyFont="1" applyFill="1" applyAlignment="1">
      <alignment horizontal="left" vertical="center" wrapText="1" indent="2"/>
    </xf>
    <xf numFmtId="0" fontId="26" fillId="9" borderId="0" xfId="4" applyFont="1" applyFill="1" applyAlignment="1">
      <alignment horizontal="left" vertical="center" wrapText="1" indent="2"/>
    </xf>
    <xf numFmtId="0" fontId="27" fillId="9" borderId="0" xfId="4" applyFont="1" applyFill="1" applyAlignment="1">
      <alignment horizontal="left" vertical="center" wrapText="1"/>
    </xf>
    <xf numFmtId="0" fontId="15" fillId="9" borderId="0" xfId="4" applyFont="1" applyFill="1" applyAlignment="1">
      <alignment horizontal="left" vertical="center" wrapText="1"/>
    </xf>
    <xf numFmtId="0" fontId="15" fillId="9" borderId="0" xfId="4" applyFont="1" applyFill="1" applyAlignment="1">
      <alignment vertical="top" wrapText="1"/>
    </xf>
    <xf numFmtId="0" fontId="0" fillId="0" borderId="0" xfId="0" applyAlignment="1">
      <alignment vertical="center"/>
    </xf>
  </cellXfs>
  <cellStyles count="6">
    <cellStyle name="Comma" xfId="1" builtinId="3"/>
    <cellStyle name="Comma 2" xfId="5" xr:uid="{00000000-0005-0000-0000-000001000000}"/>
    <cellStyle name="Hyperlink" xfId="2" builtinId="8"/>
    <cellStyle name="Normal" xfId="0" builtinId="0"/>
    <cellStyle name="Normal 2" xfId="4" xr:uid="{00000000-0005-0000-0000-000004000000}"/>
    <cellStyle name="Normal 4" xfId="3" xr:uid="{00000000-0005-0000-0000-000005000000}"/>
  </cellStyles>
  <dxfs count="147">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'Tasmania Summary'!$B$86</c:f>
              <c:strCache>
                <c:ptCount val="1"/>
                <c:pt idx="0">
                  <c:v>Existing less Announced Withdrawal</c:v>
                </c:pt>
              </c:strCache>
            </c:strRef>
          </c:tx>
          <c:spPr>
            <a:solidFill>
              <a:schemeClr val="accent6">
                <a:lumMod val="75000"/>
              </a:schemeClr>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'Tasmania Summary'!$C$86:$L$86</c:f>
              <c:numCache>
                <c:formatCode>_-* #,##0_-;\-* #,##0_-;_-* "-"??_-;_-@_-</c:formatCode>
                <c:ptCount val="10"/>
                <c:pt idx="0">
                  <c:v>0</c:v>
                </c:pt>
                <c:pt idx="1">
                  <c:v>0</c:v>
                </c:pt>
                <c:pt idx="2">
                  <c:v>178</c:v>
                </c:pt>
                <c:pt idx="3">
                  <c:v>0</c:v>
                </c:pt>
                <c:pt idx="4">
                  <c:v>0.2646</c:v>
                </c:pt>
                <c:pt idx="5">
                  <c:v>372.75</c:v>
                </c:pt>
                <c:pt idx="6">
                  <c:v>2286.8000000000002</c:v>
                </c:pt>
                <c:pt idx="7">
                  <c:v>4.9359999999999999</c:v>
                </c:pt>
                <c:pt idx="8">
                  <c:v>0</c:v>
                </c:pt>
                <c:pt idx="9">
                  <c:v>0</c:v>
                </c:pt>
              </c:numCache>
            </c:numRef>
          </c:val>
          <c:extLst>
            <c:ext xmlns:c16="http://schemas.microsoft.com/office/drawing/2014/chart" uri="{C3380CC4-5D6E-409C-BE32-E72D297353CC}">
              <c16:uniqueId val="{00000001-A3D1-482D-B116-277E85E54BB3}"/>
            </c:ext>
          </c:extLst>
        </c:ser>
        <c:ser>
          <c:idx val="0"/>
          <c:order val="1"/>
          <c:tx>
            <c:strRef>
              <c:f>'Tasmania Summary'!$B$85</c:f>
              <c:strCache>
                <c:ptCount val="1"/>
                <c:pt idx="0">
                  <c:v>Announced Withdrawal</c:v>
                </c:pt>
              </c:strCache>
            </c:strRef>
          </c:tx>
          <c:spPr>
            <a:solidFill>
              <a:srgbClr val="FFC000"/>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'Tasmania Summary'!$C$85:$L$85</c:f>
              <c:numCache>
                <c:formatCode>_-* #,##0_-;\-* #,##0_-;_-* "-"??_-;_-@_-</c:formatCode>
                <c:ptCount val="10"/>
                <c:pt idx="0">
                  <c:v>0</c:v>
                </c:pt>
                <c:pt idx="1">
                  <c:v>208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'Tasmania Summary'!$B$87</c:f>
              <c:strCache>
                <c:ptCount val="1"/>
                <c:pt idx="0">
                  <c:v>Committed</c:v>
                </c:pt>
              </c:strCache>
            </c:strRef>
          </c:tx>
          <c:spPr>
            <a:solidFill>
              <a:schemeClr val="tx2"/>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'Tasmania Summary'!$C$87:$L$87</c:f>
              <c:numCache>
                <c:formatCode>_-* #,##0_-;\-* #,##0_-;_-* "-"??_-;_-@_-</c:formatCode>
                <c:ptCount val="10"/>
                <c:pt idx="0">
                  <c:v>0</c:v>
                </c:pt>
                <c:pt idx="1">
                  <c:v>0</c:v>
                </c:pt>
                <c:pt idx="2">
                  <c:v>0</c:v>
                </c:pt>
                <c:pt idx="3">
                  <c:v>0</c:v>
                </c:pt>
                <c:pt idx="4">
                  <c:v>0</c:v>
                </c:pt>
                <c:pt idx="5">
                  <c:v>255.6</c:v>
                </c:pt>
                <c:pt idx="6">
                  <c:v>0</c:v>
                </c:pt>
                <c:pt idx="7">
                  <c:v>0</c:v>
                </c:pt>
                <c:pt idx="8">
                  <c:v>0</c:v>
                </c:pt>
                <c:pt idx="9">
                  <c:v>0</c:v>
                </c:pt>
              </c:numCache>
            </c:numRef>
          </c:val>
          <c:extLst>
            <c:ext xmlns:c16="http://schemas.microsoft.com/office/drawing/2014/chart" uri="{C3380CC4-5D6E-409C-BE32-E72D297353CC}">
              <c16:uniqueId val="{00000002-A3D1-482D-B116-277E85E54BB3}"/>
            </c:ext>
          </c:extLst>
        </c:ser>
        <c:ser>
          <c:idx val="3"/>
          <c:order val="3"/>
          <c:tx>
            <c:strRef>
              <c:f>'Tasmania Summary'!$B$88</c:f>
              <c:strCache>
                <c:ptCount val="1"/>
                <c:pt idx="0">
                  <c:v>Proposed</c:v>
                </c:pt>
              </c:strCache>
            </c:strRef>
          </c:tx>
          <c:spPr>
            <a:solidFill>
              <a:schemeClr val="accent1">
                <a:lumMod val="40000"/>
                <a:lumOff val="60000"/>
              </a:schemeClr>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'Tasmania Summary'!$C$88:$L$88</c:f>
              <c:numCache>
                <c:formatCode>_-* #,##0_-;\-* #,##0_-;_-* "-"??_-;_-@_-</c:formatCode>
                <c:ptCount val="10"/>
                <c:pt idx="0">
                  <c:v>0</c:v>
                </c:pt>
                <c:pt idx="1">
                  <c:v>0</c:v>
                </c:pt>
                <c:pt idx="2">
                  <c:v>0</c:v>
                </c:pt>
                <c:pt idx="3">
                  <c:v>0</c:v>
                </c:pt>
                <c:pt idx="4">
                  <c:v>17.5</c:v>
                </c:pt>
                <c:pt idx="5">
                  <c:v>542</c:v>
                </c:pt>
                <c:pt idx="6">
                  <c:v>2310</c:v>
                </c:pt>
                <c:pt idx="7">
                  <c:v>0</c:v>
                </c:pt>
                <c:pt idx="8">
                  <c:v>0</c:v>
                </c:pt>
                <c:pt idx="9">
                  <c:v>0</c:v>
                </c:pt>
              </c:numCache>
            </c:numRef>
          </c:val>
          <c:extLst>
            <c:ext xmlns:c16="http://schemas.microsoft.com/office/drawing/2014/chart" uri="{C3380CC4-5D6E-409C-BE32-E72D297353CC}">
              <c16:uniqueId val="{00000003-A3D1-482D-B116-277E85E54BB3}"/>
            </c:ext>
          </c:extLst>
        </c:ser>
        <c:ser>
          <c:idx val="4"/>
          <c:order val="4"/>
          <c:tx>
            <c:strRef>
              <c:f>'Tasmania Summary'!$B$89</c:f>
              <c:strCache>
                <c:ptCount val="1"/>
                <c:pt idx="0">
                  <c:v>Withdrawn</c:v>
                </c:pt>
              </c:strCache>
            </c:strRef>
          </c:tx>
          <c:spPr>
            <a:solidFill>
              <a:schemeClr val="accent2"/>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Storage</c:v>
                </c:pt>
                <c:pt idx="9">
                  <c:v>Other</c:v>
                </c:pt>
              </c:strCache>
            </c:strRef>
          </c:cat>
          <c:val>
            <c:numRef>
              <c:f>'Tasmania Summary'!$C$89:$L$89</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60</xdr:row>
      <xdr:rowOff>157161</xdr:rowOff>
    </xdr:from>
    <xdr:to>
      <xdr:col>12</xdr:col>
      <xdr:colOff>571499</xdr:colOff>
      <xdr:row>81</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K23" totalsRowShown="0" headerRowDxfId="146" headerRowBorderDxfId="145">
  <autoFilter ref="A2:K23" xr:uid="{7E22A77B-B445-4B60-8B21-A967A8960CE1}"/>
  <tableColumns count="11">
    <tableColumn id="1" xr3:uid="{00000000-0010-0000-0000-000001000000}" name="Power Station" dataDxfId="144"/>
    <tableColumn id="2" xr3:uid="{00000000-0010-0000-0000-000002000000}" name="Owner" dataDxfId="143"/>
    <tableColumn id="3" xr3:uid="{9CD48492-20D7-4A64-8EC5-5F6B2FE71D7C}" name="Unit Number and Nameplate Capacity (MW)" dataDxfId="142"/>
    <tableColumn id="4" xr3:uid="{8371704B-1865-408B-A441-B62B91C8B077}" name="Nameplate Capacity (MW)" dataDxfId="141"/>
    <tableColumn id="5" xr3:uid="{00000000-0010-0000-0000-000005000000}" name="Technology Type" dataDxfId="140"/>
    <tableColumn id="6" xr3:uid="{00000000-0010-0000-0000-000006000000}" name="Fuel Type" dataDxfId="139"/>
    <tableColumn id="7" xr3:uid="{00000000-0010-0000-0000-000007000000}" name="Dispatch Type" dataDxfId="138"/>
    <tableColumn id="8" xr3:uid="{00000000-0010-0000-0000-000008000000}" name="Service Status" dataDxfId="137"/>
    <tableColumn id="9" xr3:uid="{00000000-0010-0000-0000-000009000000}" name="Region" dataDxfId="136"/>
    <tableColumn id="10" xr3:uid="{00000000-0010-0000-0000-00000A000000}" name="summary_status" dataDxfId="135"/>
    <tableColumn id="11" xr3:uid="{00000000-0010-0000-0000-00000B000000}" name="summary_bucket" dataDxfId="13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25" totalsRowShown="0" headerRowDxfId="133" headerRowBorderDxfId="132">
  <autoFilter ref="A2:O25" xr:uid="{7BBE571E-3CD2-449E-9C7E-79BEE23D6C39}"/>
  <tableColumns count="15">
    <tableColumn id="1" xr3:uid="{00000000-0010-0000-0100-000001000000}" name="Power Station" dataDxfId="131"/>
    <tableColumn id="2" xr3:uid="{00000000-0010-0000-0100-000002000000}" name="2018-19" dataDxfId="130" dataCellStyle="Comma"/>
    <tableColumn id="3" xr3:uid="{00000000-0010-0000-0100-000003000000}" name="2019-20" dataDxfId="129" dataCellStyle="Comma"/>
    <tableColumn id="4" xr3:uid="{00000000-0010-0000-0100-000004000000}" name="2020-21" dataDxfId="128" dataCellStyle="Comma"/>
    <tableColumn id="5" xr3:uid="{00000000-0010-0000-0100-000005000000}" name="2021-22" dataDxfId="127" dataCellStyle="Comma"/>
    <tableColumn id="6" xr3:uid="{00000000-0010-0000-0100-000006000000}" name="2022-23" dataDxfId="126" dataCellStyle="Comma"/>
    <tableColumn id="7" xr3:uid="{00000000-0010-0000-0100-000007000000}" name="2023-24" dataDxfId="125" dataCellStyle="Comma"/>
    <tableColumn id="8" xr3:uid="{00000000-0010-0000-0100-000008000000}" name="2024-25" dataDxfId="124" dataCellStyle="Comma"/>
    <tableColumn id="9" xr3:uid="{00000000-0010-0000-0100-000009000000}" name="2025-26" dataDxfId="123" dataCellStyle="Comma"/>
    <tableColumn id="10" xr3:uid="{00000000-0010-0000-0100-00000A000000}" name="2026-27" dataDxfId="122" dataCellStyle="Comma"/>
    <tableColumn id="11" xr3:uid="{00000000-0010-0000-0100-00000B000000}" name="2027-28" dataDxfId="121" dataCellStyle="Comma"/>
    <tableColumn id="12" xr3:uid="{00000000-0010-0000-0100-00000C000000}" name="Dispatch Type" dataDxfId="120"/>
    <tableColumn id="13" xr3:uid="{00000000-0010-0000-0100-00000D000000}" name="FuelType" dataDxfId="119"/>
    <tableColumn id="14" xr3:uid="{00000000-0010-0000-0100-00000E000000}" name="Region" dataDxfId="118"/>
    <tableColumn id="15" xr3:uid="{00000000-0010-0000-0100-00000F000000}" name="Season" dataDxfId="11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34:O54" totalsRowShown="0" headerRowDxfId="116" headerRowBorderDxfId="115">
  <autoFilter ref="A34:O54" xr:uid="{E9C447A9-CD67-4E3A-84F9-B97C8FBFDD9C}"/>
  <tableColumns count="15">
    <tableColumn id="1" xr3:uid="{00000000-0010-0000-0200-000001000000}" name="Power Station" dataDxfId="114"/>
    <tableColumn id="2" xr3:uid="{00000000-0010-0000-0200-000002000000}" name="2018-19" dataDxfId="113" dataCellStyle="Comma"/>
    <tableColumn id="3" xr3:uid="{00000000-0010-0000-0200-000003000000}" name="2019-20" dataDxfId="112" dataCellStyle="Comma"/>
    <tableColumn id="4" xr3:uid="{00000000-0010-0000-0200-000004000000}" name="2020-21" dataDxfId="111" dataCellStyle="Comma"/>
    <tableColumn id="5" xr3:uid="{00000000-0010-0000-0200-000005000000}" name="2021-22" dataDxfId="110" dataCellStyle="Comma"/>
    <tableColumn id="6" xr3:uid="{00000000-0010-0000-0200-000006000000}" name="2022-23" dataDxfId="109" dataCellStyle="Comma"/>
    <tableColumn id="7" xr3:uid="{00000000-0010-0000-0200-000007000000}" name="2023-24" dataDxfId="108" dataCellStyle="Comma"/>
    <tableColumn id="8" xr3:uid="{00000000-0010-0000-0200-000008000000}" name="2024-25" dataDxfId="107" dataCellStyle="Comma"/>
    <tableColumn id="9" xr3:uid="{00000000-0010-0000-0200-000009000000}" name="2025-26" dataDxfId="106" dataCellStyle="Comma"/>
    <tableColumn id="10" xr3:uid="{00000000-0010-0000-0200-00000A000000}" name="2026-27" dataDxfId="105" dataCellStyle="Comma"/>
    <tableColumn id="11" xr3:uid="{00000000-0010-0000-0200-00000B000000}" name="2027-28" dataDxfId="104" dataCellStyle="Comma"/>
    <tableColumn id="12" xr3:uid="{00000000-0010-0000-0200-00000C000000}" name="Dispatch Type" dataDxfId="103"/>
    <tableColumn id="13" xr3:uid="{00000000-0010-0000-0200-00000D000000}" name="FuelType" dataDxfId="102"/>
    <tableColumn id="14" xr3:uid="{00000000-0010-0000-0200-00000E000000}" name="Region" dataDxfId="101"/>
    <tableColumn id="15" xr3:uid="{00000000-0010-0000-0200-00000F000000}" name="Season" dataDxfId="100"/>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umcapsSStable" displayName="sumcapsSStable" ref="A60:O63" totalsRowShown="0" headerRowDxfId="99" headerRowBorderDxfId="98">
  <autoFilter ref="A60:O63" xr:uid="{C33C06E4-ADDD-4EA9-843F-576AD4D239D5}"/>
  <tableColumns count="15">
    <tableColumn id="1" xr3:uid="{00000000-0010-0000-0300-000001000000}" name="Power Station" dataDxfId="97"/>
    <tableColumn id="2" xr3:uid="{00000000-0010-0000-0300-000002000000}" name="2018-19" dataDxfId="96" dataCellStyle="Comma"/>
    <tableColumn id="3" xr3:uid="{00000000-0010-0000-0300-000003000000}" name="2019-20" dataDxfId="95" dataCellStyle="Comma"/>
    <tableColumn id="4" xr3:uid="{00000000-0010-0000-0300-000004000000}" name="2020-21" dataDxfId="94" dataCellStyle="Comma"/>
    <tableColumn id="5" xr3:uid="{00000000-0010-0000-0300-000005000000}" name="2021-22" dataDxfId="93" dataCellStyle="Comma"/>
    <tableColumn id="6" xr3:uid="{00000000-0010-0000-0300-000006000000}" name="2022-23" dataDxfId="92" dataCellStyle="Comma"/>
    <tableColumn id="7" xr3:uid="{00000000-0010-0000-0300-000007000000}" name="2023-24" dataDxfId="91" dataCellStyle="Comma"/>
    <tableColumn id="8" xr3:uid="{00000000-0010-0000-0300-000008000000}" name="2024-25" dataDxfId="90" dataCellStyle="Comma"/>
    <tableColumn id="9" xr3:uid="{00000000-0010-0000-0300-000009000000}" name="2025-26" dataDxfId="89" dataCellStyle="Comma"/>
    <tableColumn id="10" xr3:uid="{00000000-0010-0000-0300-00000A000000}" name="2026-27" dataDxfId="88" dataCellStyle="Comma"/>
    <tableColumn id="11" xr3:uid="{00000000-0010-0000-0300-00000B000000}" name="2027-28" dataDxfId="87" dataCellStyle="Comma"/>
    <tableColumn id="12" xr3:uid="{00000000-0010-0000-0300-00000C000000}" name="Dispatch Type" dataDxfId="86"/>
    <tableColumn id="13" xr3:uid="{00000000-0010-0000-0300-00000D000000}" name="FuelType" dataDxfId="85"/>
    <tableColumn id="14" xr3:uid="{00000000-0010-0000-0300-00000E000000}" name="Region" dataDxfId="84"/>
    <tableColumn id="15" xr3:uid="{00000000-0010-0000-0300-00000F000000}" name="Season" dataDxfId="8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25" totalsRowShown="0" headerRowDxfId="82" headerRowBorderDxfId="81" tableBorderDxfId="80">
  <autoFilter ref="A2:O25" xr:uid="{25B9FFB0-F660-4C7E-A1C0-68D9388F8CAA}"/>
  <tableColumns count="15">
    <tableColumn id="1" xr3:uid="{00000000-0010-0000-0400-000001000000}" name="PowerStation" dataDxfId="79"/>
    <tableColumn id="2" xr3:uid="{00000000-0010-0000-0400-000002000000}" name="2019" dataDxfId="78" dataCellStyle="Comma"/>
    <tableColumn id="3" xr3:uid="{00000000-0010-0000-0400-000003000000}" name="2020" dataDxfId="77" dataCellStyle="Comma"/>
    <tableColumn id="4" xr3:uid="{00000000-0010-0000-0400-000004000000}" name="2021" dataDxfId="76" dataCellStyle="Comma"/>
    <tableColumn id="5" xr3:uid="{00000000-0010-0000-0400-000005000000}" name="2022" dataDxfId="75" dataCellStyle="Comma"/>
    <tableColumn id="6" xr3:uid="{00000000-0010-0000-0400-000006000000}" name="2023" dataDxfId="74" dataCellStyle="Comma"/>
    <tableColumn id="7" xr3:uid="{00000000-0010-0000-0400-000007000000}" name="2024" dataDxfId="73" dataCellStyle="Comma"/>
    <tableColumn id="8" xr3:uid="{00000000-0010-0000-0400-000008000000}" name="2025" dataDxfId="72" dataCellStyle="Comma"/>
    <tableColumn id="9" xr3:uid="{00000000-0010-0000-0400-000009000000}" name="2026" dataDxfId="71" dataCellStyle="Comma"/>
    <tableColumn id="10" xr3:uid="{00000000-0010-0000-0400-00000A000000}" name="2027" dataDxfId="70" dataCellStyle="Comma"/>
    <tableColumn id="11" xr3:uid="{00000000-0010-0000-0400-00000B000000}" name="2028" dataDxfId="69" dataCellStyle="Comma"/>
    <tableColumn id="12" xr3:uid="{00000000-0010-0000-0400-00000C000000}" name="DispatchType" dataDxfId="68"/>
    <tableColumn id="13" xr3:uid="{00000000-0010-0000-0400-00000D000000}" name="FuelType" dataDxfId="67"/>
    <tableColumn id="14" xr3:uid="{00000000-0010-0000-0400-00000E000000}" name="Region" dataDxfId="66"/>
    <tableColumn id="15" xr3:uid="{00000000-0010-0000-0400-00000F000000}" name="Season" dataDxfId="6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34:O54" totalsRowShown="0" headerRowDxfId="64" headerRowBorderDxfId="63" tableBorderDxfId="62">
  <autoFilter ref="A34:O54" xr:uid="{DBFF6563-F966-442A-9FA0-8949F2A83A71}"/>
  <tableColumns count="15">
    <tableColumn id="1" xr3:uid="{00000000-0010-0000-0500-000001000000}" name="PowerStation" dataDxfId="61"/>
    <tableColumn id="2" xr3:uid="{00000000-0010-0000-0500-000002000000}" name="2019" dataDxfId="60" dataCellStyle="Comma"/>
    <tableColumn id="3" xr3:uid="{00000000-0010-0000-0500-000003000000}" name="2020" dataDxfId="59" dataCellStyle="Comma"/>
    <tableColumn id="4" xr3:uid="{00000000-0010-0000-0500-000004000000}" name="2021" dataDxfId="58" dataCellStyle="Comma"/>
    <tableColumn id="5" xr3:uid="{00000000-0010-0000-0500-000005000000}" name="2022" dataDxfId="57" dataCellStyle="Comma"/>
    <tableColumn id="6" xr3:uid="{00000000-0010-0000-0500-000006000000}" name="2023" dataDxfId="56" dataCellStyle="Comma"/>
    <tableColumn id="7" xr3:uid="{00000000-0010-0000-0500-000007000000}" name="2024" dataDxfId="55" dataCellStyle="Comma"/>
    <tableColumn id="8" xr3:uid="{00000000-0010-0000-0500-000008000000}" name="2025" dataDxfId="54" dataCellStyle="Comma"/>
    <tableColumn id="9" xr3:uid="{00000000-0010-0000-0500-000009000000}" name="2026" dataDxfId="53" dataCellStyle="Comma"/>
    <tableColumn id="10" xr3:uid="{00000000-0010-0000-0500-00000A000000}" name="2027" dataDxfId="52" dataCellStyle="Comma"/>
    <tableColumn id="11" xr3:uid="{00000000-0010-0000-0500-00000B000000}" name="2028" dataDxfId="51" dataCellStyle="Comma"/>
    <tableColumn id="12" xr3:uid="{00000000-0010-0000-0500-00000C000000}" name="DispatchType" dataDxfId="50"/>
    <tableColumn id="13" xr3:uid="{00000000-0010-0000-0500-00000D000000}" name="FuelType" dataDxfId="49"/>
    <tableColumn id="14" xr3:uid="{00000000-0010-0000-0500-00000E000000}" name="Region" dataDxfId="48"/>
    <tableColumn id="15" xr3:uid="{00000000-0010-0000-0500-00000F000000}" name="Season" dataDxfId="47"/>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60:O63" totalsRowShown="0" headerRowDxfId="46" headerRowBorderDxfId="45" tableBorderDxfId="44">
  <autoFilter ref="A60:O63" xr:uid="{33256CCB-9975-4D58-B606-054911096829}"/>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17" totalsRowShown="0" headerRowDxfId="28" headerRowBorderDxfId="27">
  <autoFilter ref="A2:I17" xr:uid="{D2469EC0-95AC-48A8-89F9-B251007A29BD}"/>
  <tableColumns count="9">
    <tableColumn id="1" xr3:uid="{00000000-0010-0000-0700-000001000000}" name="Power Station" dataDxfId="26"/>
    <tableColumn id="2" xr3:uid="{00000000-0010-0000-0700-000002000000}" name="Owner" dataDxfId="25"/>
    <tableColumn id="3" xr3:uid="{00000000-0010-0000-0700-000003000000}" name="Nameplate Capacity (MW)" dataDxfId="24"/>
    <tableColumn id="4" xr3:uid="{00000000-0010-0000-0700-000004000000}" name="Technology Type" dataDxfId="23"/>
    <tableColumn id="5" xr3:uid="{00000000-0010-0000-0700-000005000000}" name="Fuel Type" dataDxfId="22"/>
    <tableColumn id="6" xr3:uid="{0ED6ECB3-5141-4471-97CE-07F9EA537354}"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15" totalsRowShown="0" headerRowDxfId="17" headerRowBorderDxfId="16" tableBorderDxfId="15">
  <autoFilter ref="A2:O15" xr:uid="{0F5CC479-A002-4C4A-80F0-401D7D5D677D}"/>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91"/>
  <sheetViews>
    <sheetView showGridLines="0" tabSelected="1" workbookViewId="0"/>
  </sheetViews>
  <sheetFormatPr defaultRowHeight="15"/>
  <cols>
    <col min="1" max="1" width="4.7109375" customWidth="1"/>
    <col min="2" max="2" width="40.7109375" customWidth="1"/>
    <col min="11" max="11" width="9.140625" style="7"/>
  </cols>
  <sheetData>
    <row r="1" spans="1:11" ht="15.75" thickBot="1">
      <c r="A1" s="22" t="s">
        <v>20</v>
      </c>
    </row>
    <row r="2" spans="1:11" ht="16.5" thickTop="1" thickBot="1">
      <c r="B2" s="5" t="s">
        <v>111</v>
      </c>
      <c r="C2" s="4"/>
      <c r="D2" s="4"/>
      <c r="E2" s="4"/>
      <c r="F2" s="4"/>
      <c r="G2" s="4"/>
      <c r="H2" s="4"/>
      <c r="I2" s="6"/>
      <c r="J2" s="8"/>
      <c r="K2"/>
    </row>
    <row r="3" spans="1:11">
      <c r="B3" s="6" t="s">
        <v>112</v>
      </c>
      <c r="I3" s="6"/>
      <c r="J3" s="8"/>
      <c r="K3"/>
    </row>
    <row r="4" spans="1:11">
      <c r="B4" s="24" t="s">
        <v>133</v>
      </c>
      <c r="C4" s="25"/>
      <c r="D4" s="25"/>
      <c r="E4" s="25"/>
      <c r="F4" s="25"/>
      <c r="G4" s="25"/>
      <c r="H4" s="26"/>
      <c r="I4" s="6"/>
      <c r="J4" s="11"/>
      <c r="K4" s="11"/>
    </row>
    <row r="5" spans="1:11" ht="15.75" thickBot="1">
      <c r="B5" s="143" t="s">
        <v>134</v>
      </c>
      <c r="C5" s="144"/>
      <c r="D5" s="144"/>
      <c r="E5" s="144"/>
      <c r="F5" s="144"/>
      <c r="G5" s="144"/>
      <c r="H5" s="145"/>
      <c r="I5" s="6"/>
      <c r="J5" s="11"/>
      <c r="K5" s="11"/>
    </row>
    <row r="6" spans="1:11" ht="15.75" thickTop="1">
      <c r="B6" s="27"/>
      <c r="C6" s="27"/>
      <c r="D6" s="27"/>
      <c r="E6" s="27"/>
      <c r="F6" s="27"/>
      <c r="G6" s="27"/>
      <c r="H6" s="27"/>
      <c r="I6" s="8"/>
      <c r="J6" s="11"/>
      <c r="K6" s="11"/>
    </row>
    <row r="7" spans="1:11">
      <c r="B7" s="28" t="s">
        <v>206</v>
      </c>
      <c r="C7" s="27"/>
      <c r="D7" s="27"/>
      <c r="E7" s="27"/>
      <c r="F7" s="27"/>
      <c r="G7" s="27"/>
      <c r="H7" s="27"/>
      <c r="I7" s="8"/>
      <c r="J7" s="11"/>
      <c r="K7" s="11"/>
    </row>
    <row r="8" spans="1:11" s="11" customFormat="1" ht="15.75" thickBot="1">
      <c r="B8" s="8"/>
      <c r="C8" s="8"/>
      <c r="D8" s="8"/>
      <c r="E8" s="8"/>
      <c r="F8" s="8"/>
      <c r="G8" s="8"/>
      <c r="H8" s="8"/>
    </row>
    <row r="9" spans="1:11" s="11" customFormat="1" ht="20.25" thickBot="1">
      <c r="B9" s="1" t="s">
        <v>135</v>
      </c>
    </row>
    <row r="10" spans="1:11" s="11" customFormat="1"/>
    <row r="11" spans="1:11" s="11" customFormat="1">
      <c r="B11" s="29" t="s">
        <v>136</v>
      </c>
      <c r="C11" s="30"/>
      <c r="D11" s="30"/>
      <c r="E11" s="30"/>
      <c r="F11" s="30"/>
      <c r="G11" s="30"/>
      <c r="H11" s="30"/>
      <c r="I11" s="30"/>
      <c r="J11" s="30"/>
      <c r="K11" s="31"/>
    </row>
    <row r="12" spans="1:11" s="23" customFormat="1" ht="19.5" customHeight="1">
      <c r="B12" s="148" t="s">
        <v>235</v>
      </c>
      <c r="C12" s="148"/>
      <c r="D12" s="148"/>
      <c r="E12" s="148"/>
      <c r="F12" s="148"/>
      <c r="G12" s="148"/>
      <c r="H12" s="148"/>
      <c r="I12" s="148"/>
      <c r="J12" s="148"/>
      <c r="K12" s="148"/>
    </row>
    <row r="13" spans="1:11" s="11" customFormat="1">
      <c r="B13" s="32"/>
      <c r="C13" s="32"/>
      <c r="D13" s="32"/>
      <c r="E13" s="32"/>
      <c r="F13" s="32"/>
      <c r="G13" s="32"/>
      <c r="H13" s="32"/>
      <c r="I13" s="32"/>
      <c r="J13" s="32"/>
      <c r="K13" s="31"/>
    </row>
    <row r="14" spans="1:11" s="11" customFormat="1">
      <c r="B14" s="146" t="s">
        <v>138</v>
      </c>
      <c r="C14" s="146"/>
      <c r="D14" s="146"/>
      <c r="E14" s="146"/>
      <c r="F14" s="30"/>
      <c r="G14" s="30"/>
      <c r="H14" s="30"/>
      <c r="I14" s="30"/>
      <c r="J14" s="30"/>
      <c r="K14" s="31"/>
    </row>
    <row r="15" spans="1:11" s="11" customFormat="1">
      <c r="B15" s="33" t="s">
        <v>122</v>
      </c>
      <c r="C15" s="30"/>
      <c r="D15" s="30"/>
      <c r="E15" s="30"/>
      <c r="F15" s="30"/>
      <c r="G15" s="30"/>
      <c r="H15" s="30"/>
      <c r="I15" s="30"/>
      <c r="J15" s="30"/>
    </row>
    <row r="16" spans="1:11" s="11" customFormat="1">
      <c r="B16" s="147" t="s">
        <v>139</v>
      </c>
      <c r="C16" s="147"/>
      <c r="D16" s="147"/>
      <c r="E16" s="147"/>
      <c r="F16" s="147"/>
      <c r="G16" s="147"/>
      <c r="H16" s="147"/>
      <c r="I16" s="147"/>
      <c r="J16" s="147"/>
    </row>
    <row r="17" spans="2:10" s="11" customFormat="1">
      <c r="B17" s="34"/>
      <c r="C17" s="30"/>
      <c r="D17" s="30"/>
      <c r="E17" s="30"/>
      <c r="F17" s="30"/>
      <c r="G17" s="30"/>
      <c r="H17" s="30"/>
      <c r="I17" s="30"/>
      <c r="J17" s="30"/>
    </row>
    <row r="18" spans="2:10" s="11" customFormat="1">
      <c r="B18" s="33" t="s">
        <v>140</v>
      </c>
      <c r="C18" s="30"/>
      <c r="D18" s="30"/>
      <c r="E18" s="30"/>
      <c r="F18" s="30"/>
      <c r="G18" s="30"/>
      <c r="H18" s="30"/>
      <c r="I18" s="30"/>
      <c r="J18" s="30"/>
    </row>
    <row r="19" spans="2:10" s="11" customFormat="1" ht="24" customHeight="1">
      <c r="B19" s="148" t="s">
        <v>141</v>
      </c>
      <c r="C19" s="148"/>
      <c r="D19" s="148"/>
      <c r="E19" s="148"/>
      <c r="F19" s="148"/>
      <c r="G19" s="148"/>
      <c r="H19" s="148"/>
      <c r="I19" s="148"/>
      <c r="J19" s="148"/>
    </row>
    <row r="20" spans="2:10" s="11" customFormat="1">
      <c r="B20" s="34"/>
      <c r="C20" s="30"/>
      <c r="D20" s="30"/>
      <c r="E20" s="30"/>
      <c r="F20" s="30"/>
      <c r="G20" s="30"/>
      <c r="H20" s="30"/>
      <c r="I20" s="30"/>
      <c r="J20" s="30"/>
    </row>
    <row r="21" spans="2:10" s="11" customFormat="1">
      <c r="B21" s="34" t="s">
        <v>142</v>
      </c>
      <c r="C21" s="30"/>
      <c r="D21" s="30"/>
      <c r="E21" s="30"/>
      <c r="F21" s="30"/>
      <c r="G21" s="30"/>
      <c r="H21" s="30"/>
      <c r="I21" s="30"/>
      <c r="J21" s="30"/>
    </row>
    <row r="22" spans="2:10" s="11" customFormat="1">
      <c r="B22" s="148" t="s">
        <v>143</v>
      </c>
      <c r="C22" s="148"/>
      <c r="D22" s="148"/>
      <c r="E22" s="148"/>
      <c r="F22" s="148"/>
      <c r="G22" s="148"/>
      <c r="H22" s="148"/>
      <c r="I22" s="148"/>
      <c r="J22" s="148"/>
    </row>
    <row r="23" spans="2:10" s="11" customFormat="1">
      <c r="B23" s="150" t="s">
        <v>236</v>
      </c>
      <c r="C23" s="150"/>
      <c r="D23" s="150"/>
      <c r="E23" s="150"/>
      <c r="F23" s="150"/>
      <c r="G23" s="150"/>
      <c r="H23" s="150"/>
      <c r="I23" s="150"/>
      <c r="J23" s="150"/>
    </row>
    <row r="24" spans="2:10" s="11" customFormat="1">
      <c r="B24" s="34"/>
      <c r="C24" s="30"/>
      <c r="D24" s="30"/>
      <c r="E24" s="30"/>
      <c r="F24" s="30"/>
      <c r="G24" s="30"/>
      <c r="H24" s="30"/>
      <c r="I24" s="30"/>
      <c r="J24" s="30"/>
    </row>
    <row r="25" spans="2:10" s="11" customFormat="1">
      <c r="B25" s="34" t="s">
        <v>144</v>
      </c>
      <c r="C25" s="30"/>
      <c r="D25" s="30"/>
      <c r="E25" s="30"/>
      <c r="F25" s="30"/>
      <c r="G25" s="30"/>
      <c r="H25" s="30"/>
      <c r="I25" s="30"/>
      <c r="J25" s="30"/>
    </row>
    <row r="26" spans="2:10" s="11" customFormat="1">
      <c r="B26" s="36" t="s">
        <v>145</v>
      </c>
      <c r="C26" s="30"/>
      <c r="D26" s="30"/>
      <c r="E26" s="30"/>
      <c r="F26" s="30"/>
      <c r="G26" s="30"/>
      <c r="H26" s="30"/>
      <c r="I26" s="30"/>
      <c r="J26" s="30"/>
    </row>
    <row r="27" spans="2:10" s="11" customFormat="1">
      <c r="B27" s="34"/>
      <c r="C27" s="30"/>
      <c r="D27" s="30"/>
      <c r="E27" s="30"/>
      <c r="F27" s="30"/>
      <c r="G27" s="30"/>
      <c r="H27" s="30"/>
      <c r="I27" s="30"/>
      <c r="J27" s="30"/>
    </row>
    <row r="28" spans="2:10" s="11" customFormat="1">
      <c r="B28" s="29" t="s">
        <v>146</v>
      </c>
      <c r="C28" s="30"/>
      <c r="D28" s="30"/>
      <c r="E28" s="30"/>
      <c r="F28" s="30"/>
      <c r="G28" s="30"/>
      <c r="H28" s="30"/>
      <c r="I28" s="30"/>
      <c r="J28" s="30"/>
    </row>
    <row r="29" spans="2:10" s="11" customFormat="1">
      <c r="B29" s="37" t="s">
        <v>147</v>
      </c>
      <c r="C29" s="38"/>
      <c r="D29" s="38"/>
      <c r="E29" s="38"/>
      <c r="F29" s="38"/>
      <c r="G29" s="38"/>
      <c r="H29" s="38"/>
      <c r="I29" s="38"/>
      <c r="J29" s="38"/>
    </row>
    <row r="30" spans="2:10" s="11" customFormat="1" ht="27" customHeight="1">
      <c r="B30" s="151" t="s">
        <v>148</v>
      </c>
      <c r="C30" s="151"/>
      <c r="D30" s="151"/>
      <c r="E30" s="151"/>
      <c r="F30" s="151"/>
      <c r="G30" s="151"/>
      <c r="H30" s="151"/>
      <c r="I30" s="151"/>
      <c r="J30" s="151"/>
    </row>
    <row r="31" spans="2:10" s="11" customFormat="1">
      <c r="B31" s="39" t="s">
        <v>149</v>
      </c>
      <c r="C31" s="38"/>
      <c r="D31" s="38"/>
      <c r="E31" s="38"/>
      <c r="F31" s="38"/>
      <c r="G31" s="38"/>
      <c r="H31" s="38"/>
      <c r="I31" s="38"/>
      <c r="J31" s="38"/>
    </row>
    <row r="32" spans="2:10" s="11" customFormat="1">
      <c r="B32" s="40" t="s">
        <v>150</v>
      </c>
      <c r="C32" s="39"/>
      <c r="D32" s="38"/>
      <c r="E32" s="38"/>
      <c r="F32" s="38"/>
      <c r="G32" s="38"/>
      <c r="H32" s="38"/>
      <c r="I32" s="38"/>
      <c r="J32" s="38"/>
    </row>
    <row r="33" spans="2:10" s="11" customFormat="1">
      <c r="B33" s="39" t="s">
        <v>151</v>
      </c>
      <c r="C33" s="38"/>
      <c r="D33" s="38"/>
      <c r="E33" s="38"/>
      <c r="F33" s="38"/>
      <c r="G33" s="38"/>
      <c r="H33" s="38"/>
      <c r="I33" s="38"/>
      <c r="J33" s="38"/>
    </row>
    <row r="34" spans="2:10" s="11" customFormat="1">
      <c r="B34" s="40" t="s">
        <v>150</v>
      </c>
      <c r="C34" s="39"/>
      <c r="D34" s="38"/>
      <c r="E34" s="38"/>
      <c r="F34" s="38"/>
      <c r="G34" s="38"/>
      <c r="H34" s="38"/>
      <c r="I34" s="38"/>
      <c r="J34" s="38"/>
    </row>
    <row r="35" spans="2:10" s="11" customFormat="1">
      <c r="B35" s="39" t="s">
        <v>152</v>
      </c>
      <c r="C35" s="38"/>
      <c r="D35" s="38"/>
      <c r="E35" s="38"/>
      <c r="F35" s="38"/>
      <c r="G35" s="38"/>
      <c r="H35" s="38"/>
      <c r="I35" s="38"/>
      <c r="J35" s="38"/>
    </row>
    <row r="36" spans="2:10" s="11" customFormat="1">
      <c r="B36" s="40" t="s">
        <v>150</v>
      </c>
      <c r="C36" s="39"/>
      <c r="D36" s="38"/>
      <c r="E36" s="38"/>
      <c r="F36" s="38"/>
      <c r="G36" s="38"/>
      <c r="H36" s="38"/>
      <c r="I36" s="38"/>
      <c r="J36" s="38"/>
    </row>
    <row r="37" spans="2:10" s="11" customFormat="1" ht="27" customHeight="1">
      <c r="B37" s="152" t="s">
        <v>153</v>
      </c>
      <c r="C37" s="152"/>
      <c r="D37" s="152"/>
      <c r="E37" s="152"/>
      <c r="F37" s="152"/>
      <c r="G37" s="152"/>
      <c r="H37" s="152"/>
      <c r="I37" s="152"/>
      <c r="J37" s="152"/>
    </row>
    <row r="38" spans="2:10" s="11" customFormat="1" ht="27" customHeight="1">
      <c r="B38" s="152" t="s">
        <v>154</v>
      </c>
      <c r="C38" s="152"/>
      <c r="D38" s="152"/>
      <c r="E38" s="152"/>
      <c r="F38" s="152"/>
      <c r="G38" s="152"/>
      <c r="H38" s="152"/>
      <c r="I38" s="152"/>
      <c r="J38" s="152"/>
    </row>
    <row r="39" spans="2:10" s="11" customFormat="1">
      <c r="B39" s="41" t="s">
        <v>155</v>
      </c>
      <c r="C39" s="38"/>
      <c r="D39" s="38"/>
      <c r="E39" s="38"/>
      <c r="F39" s="38"/>
      <c r="G39" s="38"/>
      <c r="H39" s="38"/>
      <c r="I39" s="38"/>
      <c r="J39" s="38"/>
    </row>
    <row r="40" spans="2:10" s="11" customFormat="1">
      <c r="B40" s="40" t="s">
        <v>156</v>
      </c>
      <c r="C40" s="39"/>
      <c r="D40" s="38"/>
      <c r="E40" s="38"/>
      <c r="F40" s="38"/>
      <c r="G40" s="38"/>
      <c r="H40" s="38"/>
      <c r="I40" s="38"/>
      <c r="J40" s="38"/>
    </row>
    <row r="41" spans="2:10" s="11" customFormat="1">
      <c r="B41" s="41" t="s">
        <v>157</v>
      </c>
      <c r="C41" s="38"/>
      <c r="D41" s="38"/>
      <c r="E41" s="38"/>
      <c r="F41" s="38"/>
      <c r="G41" s="38"/>
      <c r="H41" s="38"/>
      <c r="I41" s="38"/>
      <c r="J41" s="38"/>
    </row>
    <row r="42" spans="2:10" s="11" customFormat="1">
      <c r="B42" s="40" t="s">
        <v>158</v>
      </c>
      <c r="C42" s="39"/>
      <c r="D42" s="38"/>
      <c r="E42" s="38"/>
      <c r="F42" s="38"/>
      <c r="G42" s="38"/>
      <c r="H42" s="38"/>
      <c r="I42" s="38"/>
      <c r="J42" s="38"/>
    </row>
    <row r="43" spans="2:10" s="11" customFormat="1">
      <c r="B43" s="41" t="s">
        <v>159</v>
      </c>
      <c r="C43" s="38"/>
      <c r="D43" s="38"/>
      <c r="E43" s="38"/>
      <c r="F43" s="38"/>
      <c r="G43" s="38"/>
      <c r="H43" s="38"/>
      <c r="I43" s="38"/>
      <c r="J43" s="38"/>
    </row>
    <row r="44" spans="2:10" s="11" customFormat="1">
      <c r="B44" s="40" t="s">
        <v>160</v>
      </c>
      <c r="C44" s="39"/>
      <c r="D44" s="38"/>
      <c r="E44" s="38"/>
      <c r="F44" s="38"/>
      <c r="G44" s="38"/>
      <c r="H44" s="38"/>
      <c r="I44" s="38"/>
      <c r="J44" s="38"/>
    </row>
    <row r="45" spans="2:10" s="11" customFormat="1" ht="28.5" customHeight="1">
      <c r="B45" s="152" t="s">
        <v>161</v>
      </c>
      <c r="C45" s="152"/>
      <c r="D45" s="152"/>
      <c r="E45" s="152"/>
      <c r="F45" s="152"/>
      <c r="G45" s="152"/>
      <c r="H45" s="152"/>
      <c r="I45" s="152"/>
      <c r="J45" s="152"/>
    </row>
    <row r="46" spans="2:10" s="11" customFormat="1" ht="28.5" customHeight="1">
      <c r="B46" s="153" t="s">
        <v>162</v>
      </c>
      <c r="C46" s="153"/>
      <c r="D46" s="153"/>
      <c r="E46" s="153"/>
      <c r="F46" s="153"/>
      <c r="G46" s="153"/>
      <c r="H46" s="153"/>
      <c r="I46" s="153"/>
      <c r="J46" s="153"/>
    </row>
    <row r="47" spans="2:10" s="11" customFormat="1" ht="28.5" customHeight="1">
      <c r="B47" s="153" t="s">
        <v>163</v>
      </c>
      <c r="C47" s="153"/>
      <c r="D47" s="153"/>
      <c r="E47" s="153"/>
      <c r="F47" s="153"/>
      <c r="G47" s="153"/>
      <c r="H47" s="153"/>
      <c r="I47" s="153"/>
      <c r="J47" s="153"/>
    </row>
    <row r="48" spans="2:10" s="11" customFormat="1" ht="21.75" customHeight="1">
      <c r="B48" s="153" t="s">
        <v>164</v>
      </c>
      <c r="C48" s="153"/>
      <c r="D48" s="153"/>
      <c r="E48" s="153"/>
      <c r="F48" s="153"/>
      <c r="G48" s="153"/>
      <c r="H48" s="153"/>
      <c r="I48" s="153"/>
      <c r="J48" s="153"/>
    </row>
    <row r="49" spans="2:10" s="11" customFormat="1" ht="26.25" customHeight="1">
      <c r="B49" s="153" t="s">
        <v>165</v>
      </c>
      <c r="C49" s="153"/>
      <c r="D49" s="153"/>
      <c r="E49" s="153"/>
      <c r="F49" s="153"/>
      <c r="G49" s="153"/>
      <c r="H49" s="153"/>
      <c r="I49" s="153"/>
      <c r="J49" s="153"/>
    </row>
    <row r="50" spans="2:10" s="11" customFormat="1">
      <c r="B50" s="149" t="s">
        <v>166</v>
      </c>
      <c r="C50" s="149"/>
      <c r="D50" s="149"/>
      <c r="E50" s="149"/>
      <c r="F50" s="149"/>
      <c r="G50" s="149"/>
      <c r="H50" s="149"/>
      <c r="I50" s="149"/>
      <c r="J50" s="149"/>
    </row>
    <row r="51" spans="2:10" s="11" customFormat="1">
      <c r="B51" s="42" t="s">
        <v>167</v>
      </c>
      <c r="C51" s="38"/>
      <c r="D51" s="38"/>
      <c r="E51" s="38"/>
      <c r="F51" s="38"/>
      <c r="G51" s="38"/>
      <c r="H51" s="38"/>
      <c r="I51" s="38"/>
      <c r="J51" s="38"/>
    </row>
    <row r="52" spans="2:10" s="11" customFormat="1">
      <c r="B52" s="37" t="s">
        <v>168</v>
      </c>
      <c r="C52" s="38"/>
      <c r="D52" s="38"/>
      <c r="E52" s="38"/>
      <c r="F52" s="38"/>
      <c r="G52" s="38"/>
      <c r="H52" s="38"/>
      <c r="I52" s="38"/>
      <c r="J52" s="38"/>
    </row>
    <row r="53" spans="2:10" s="11" customFormat="1">
      <c r="B53" s="42" t="s">
        <v>169</v>
      </c>
      <c r="C53" s="38"/>
      <c r="D53" s="38"/>
      <c r="E53" s="38"/>
      <c r="F53" s="38"/>
      <c r="G53" s="38"/>
      <c r="H53" s="38"/>
      <c r="I53" s="38"/>
      <c r="J53" s="38"/>
    </row>
    <row r="54" spans="2:10" s="11" customFormat="1">
      <c r="B54" s="42" t="s">
        <v>170</v>
      </c>
      <c r="C54" s="38"/>
      <c r="D54" s="38"/>
      <c r="E54" s="38"/>
      <c r="F54" s="38"/>
      <c r="G54" s="38"/>
      <c r="H54" s="38"/>
      <c r="I54" s="38"/>
      <c r="J54" s="38"/>
    </row>
    <row r="55" spans="2:10" s="11" customFormat="1">
      <c r="B55" s="37" t="s">
        <v>171</v>
      </c>
      <c r="C55" s="38"/>
      <c r="D55" s="38"/>
      <c r="E55" s="38"/>
      <c r="F55" s="38"/>
      <c r="G55" s="38"/>
      <c r="H55" s="38"/>
      <c r="I55" s="38"/>
      <c r="J55" s="38"/>
    </row>
    <row r="56" spans="2:10" s="11" customFormat="1">
      <c r="B56" s="42" t="s">
        <v>172</v>
      </c>
      <c r="C56" s="38"/>
      <c r="D56" s="38"/>
      <c r="E56" s="38"/>
      <c r="F56" s="38"/>
      <c r="G56" s="38"/>
      <c r="H56" s="38"/>
      <c r="I56" s="38"/>
      <c r="J56" s="38"/>
    </row>
    <row r="57" spans="2:10" s="11" customFormat="1">
      <c r="B57" s="42" t="s">
        <v>173</v>
      </c>
      <c r="C57" s="38"/>
      <c r="D57" s="38"/>
      <c r="E57" s="38"/>
      <c r="F57" s="38"/>
      <c r="G57" s="38"/>
      <c r="H57" s="38"/>
      <c r="I57" s="38"/>
      <c r="J57" s="38"/>
    </row>
    <row r="58" spans="2:10" s="11" customFormat="1">
      <c r="B58" s="153" t="s">
        <v>174</v>
      </c>
      <c r="C58" s="153"/>
      <c r="D58" s="153"/>
      <c r="E58" s="153"/>
      <c r="F58" s="153"/>
      <c r="G58" s="153"/>
      <c r="H58" s="153"/>
      <c r="I58" s="153"/>
      <c r="J58" s="153"/>
    </row>
    <row r="59" spans="2:10" s="11" customFormat="1">
      <c r="B59" s="35"/>
      <c r="C59" s="35"/>
      <c r="D59" s="35"/>
      <c r="E59" s="35"/>
      <c r="F59" s="35"/>
      <c r="G59" s="35"/>
      <c r="H59" s="35"/>
      <c r="I59" s="35"/>
      <c r="J59" s="35"/>
    </row>
    <row r="60" spans="2:10" s="11" customFormat="1">
      <c r="B60" s="29" t="s">
        <v>175</v>
      </c>
    </row>
    <row r="83" spans="2:13">
      <c r="B83" s="2" t="s">
        <v>113</v>
      </c>
      <c r="C83" s="2" t="s">
        <v>114</v>
      </c>
      <c r="D83" s="2" t="s">
        <v>31</v>
      </c>
      <c r="E83" s="2" t="s">
        <v>13</v>
      </c>
      <c r="F83" s="2" t="s">
        <v>115</v>
      </c>
      <c r="G83" s="2" t="s">
        <v>274</v>
      </c>
      <c r="H83" s="2" t="s">
        <v>11</v>
      </c>
      <c r="I83" s="2" t="s">
        <v>15</v>
      </c>
      <c r="J83" s="2" t="s">
        <v>116</v>
      </c>
      <c r="K83" s="2" t="s">
        <v>131</v>
      </c>
      <c r="L83" s="2" t="s">
        <v>117</v>
      </c>
      <c r="M83" s="2" t="s">
        <v>67</v>
      </c>
    </row>
    <row r="84" spans="2:13">
      <c r="B84" s="3" t="s">
        <v>118</v>
      </c>
      <c r="C84" s="43">
        <f>C85+C86</f>
        <v>0</v>
      </c>
      <c r="D84" s="44">
        <f t="shared" ref="D84:L84" si="0">D85+D86</f>
        <v>208</v>
      </c>
      <c r="E84" s="43">
        <f t="shared" si="0"/>
        <v>178</v>
      </c>
      <c r="F84" s="44">
        <f t="shared" si="0"/>
        <v>0</v>
      </c>
      <c r="G84" s="43">
        <f t="shared" si="0"/>
        <v>0.2646</v>
      </c>
      <c r="H84" s="44">
        <f t="shared" si="0"/>
        <v>372.75</v>
      </c>
      <c r="I84" s="43">
        <f t="shared" si="0"/>
        <v>2286.8000000000002</v>
      </c>
      <c r="J84" s="44">
        <f t="shared" si="0"/>
        <v>4.9359999999999999</v>
      </c>
      <c r="K84" s="43">
        <f t="shared" si="0"/>
        <v>0</v>
      </c>
      <c r="L84" s="44">
        <f t="shared" si="0"/>
        <v>0</v>
      </c>
      <c r="M84" s="43">
        <f t="shared" ref="M84:M89" si="1">SUM(C84:L84)</f>
        <v>3050.7506000000003</v>
      </c>
    </row>
    <row r="85" spans="2:13">
      <c r="B85" s="3" t="s">
        <v>45</v>
      </c>
      <c r="C85" s="43">
        <f>SUMIFS(existingstable[Nameplate Capacity (MW)],existingstable[summary_status],'Tasmania Summary'!$B85,existingstable[summary_bucket],'Tasmania Summary'!C$83) + SUMIFS(existingnstable[Nameplate Capacity (MW)],existingnstable[summary_status],'Tasmania Summary'!$B85,existingnstable[summary_bucket],'Tasmania Summary'!C$83)</f>
        <v>0</v>
      </c>
      <c r="D85" s="44">
        <f>SUMIFS(existingstable[Nameplate Capacity (MW)],existingstable[summary_status],'Tasmania Summary'!$B85,existingstable[summary_bucket],'Tasmania Summary'!D$83) + SUMIFS(existingnstable[Nameplate Capacity (MW)],existingnstable[summary_status],'Tasmania Summary'!$B85,existingnstable[summary_bucket],'Tasmania Summary'!D$83)</f>
        <v>208</v>
      </c>
      <c r="E85" s="43">
        <f>SUMIFS(existingstable[Nameplate Capacity (MW)],existingstable[summary_status],'Tasmania Summary'!$B85,existingstable[summary_bucket],'Tasmania Summary'!E$83) + SUMIFS(existingnstable[Nameplate Capacity (MW)],existingnstable[summary_status],'Tasmania Summary'!$B85,existingnstable[summary_bucket],'Tasmania Summary'!E$83)</f>
        <v>0</v>
      </c>
      <c r="F85" s="44">
        <f>SUMIFS(existingstable[Nameplate Capacity (MW)],existingstable[summary_status],'Tasmania Summary'!$B85,existingstable[summary_bucket],'Tasmania Summary'!F$83) + SUMIFS(existingnstable[Nameplate Capacity (MW)],existingnstable[summary_status],'Tasmania Summary'!$B85,existingnstable[summary_bucket],'Tasmania Summary'!F$83)</f>
        <v>0</v>
      </c>
      <c r="G85" s="43">
        <f>SUMIFS(existingstable[Nameplate Capacity (MW)],existingstable[summary_status],'Tasmania Summary'!$B85,existingstable[summary_bucket],'Tasmania Summary'!G$83) + SUMIFS(existingnstable[Nameplate Capacity (MW)],existingnstable[summary_status],'Tasmania Summary'!$B85,existingnstable[summary_bucket],'Tasmania Summary'!G$83)</f>
        <v>0</v>
      </c>
      <c r="H85" s="44">
        <f>SUMIFS(existingstable[Nameplate Capacity (MW)],existingstable[summary_status],'Tasmania Summary'!$B85,existingstable[summary_bucket],'Tasmania Summary'!H$83) + SUMIFS(existingnstable[Nameplate Capacity (MW)],existingnstable[summary_status],'Tasmania Summary'!$B85,existingnstable[summary_bucket],'Tasmania Summary'!H$83)</f>
        <v>0</v>
      </c>
      <c r="I85" s="43">
        <f>SUMIFS(existingstable[Nameplate Capacity (MW)],existingstable[summary_status],'Tasmania Summary'!$B85,existingstable[summary_bucket],'Tasmania Summary'!I$83) + SUMIFS(existingnstable[Nameplate Capacity (MW)],existingnstable[summary_status],'Tasmania Summary'!$B85,existingnstable[summary_bucket],'Tasmania Summary'!I$83)</f>
        <v>0</v>
      </c>
      <c r="J85" s="44">
        <f>SUMIFS(existingstable[Nameplate Capacity (MW)],existingstable[summary_status],'Tasmania Summary'!$B85,existingstable[summary_bucket],'Tasmania Summary'!J$83) + SUMIFS(existingnstable[Nameplate Capacity (MW)],existingnstable[summary_status],'Tasmania Summary'!$B85,existingnstable[summary_bucket],'Tasmania Summary'!J$83)</f>
        <v>0</v>
      </c>
      <c r="K85" s="43">
        <f>SUMIFS(existingstable[Nameplate Capacity (MW)],existingstable[summary_status],'Tasmania Summary'!$B85,existingstable[summary_bucket],'Tasmania Summary'!K$83) + SUMIFS(existingnstable[Nameplate Capacity (MW)],existingnstable[summary_status],'Tasmania Summary'!$B85,existingnstable[summary_bucket],'Tasmania Summary'!K$83)</f>
        <v>0</v>
      </c>
      <c r="L85" s="44">
        <f>SUMIFS(existingstable[Nameplate Capacity (MW)],existingstable[summary_status],'Tasmania Summary'!$B85,existingstable[summary_bucket],'Tasmania Summary'!L$83) + SUMIFS(existingnstable[Nameplate Capacity (MW)],existingnstable[summary_status],'Tasmania Summary'!$B85,existingnstable[summary_bucket],'Tasmania Summary'!L$83)</f>
        <v>0</v>
      </c>
      <c r="M85" s="43">
        <f t="shared" si="1"/>
        <v>208</v>
      </c>
    </row>
    <row r="86" spans="2:13">
      <c r="B86" s="3" t="s">
        <v>119</v>
      </c>
      <c r="C86" s="43">
        <f>SUMIFS(existingstable[Nameplate Capacity (MW)],existingstable[summary_status],'Tasmania Summary'!$B86,existingstable[summary_bucket],'Tasmania Summary'!C$83) + SUMIFS(existingnstable[Nameplate Capacity (MW)],existingnstable[summary_status],'Tasmania Summary'!$B86,existingnstable[summary_bucket],'Tasmania Summary'!C$83)</f>
        <v>0</v>
      </c>
      <c r="D86" s="44">
        <f>SUMIFS(existingstable[Nameplate Capacity (MW)],existingstable[summary_status],'Tasmania Summary'!$B86,existingstable[summary_bucket],'Tasmania Summary'!D$83) + SUMIFS(existingnstable[Nameplate Capacity (MW)],existingnstable[summary_status],'Tasmania Summary'!$B86,existingnstable[summary_bucket],'Tasmania Summary'!D$83)</f>
        <v>0</v>
      </c>
      <c r="E86" s="43">
        <f>SUMIFS(existingstable[Nameplate Capacity (MW)],existingstable[summary_status],'Tasmania Summary'!$B86,existingstable[summary_bucket],'Tasmania Summary'!E$83) + SUMIFS(existingnstable[Nameplate Capacity (MW)],existingnstable[summary_status],'Tasmania Summary'!$B86,existingnstable[summary_bucket],'Tasmania Summary'!E$83)</f>
        <v>178</v>
      </c>
      <c r="F86" s="44">
        <f>SUMIFS(existingstable[Nameplate Capacity (MW)],existingstable[summary_status],'Tasmania Summary'!$B86,existingstable[summary_bucket],'Tasmania Summary'!F$83) + SUMIFS(existingnstable[Nameplate Capacity (MW)],existingnstable[summary_status],'Tasmania Summary'!$B86,existingnstable[summary_bucket],'Tasmania Summary'!F$83)</f>
        <v>0</v>
      </c>
      <c r="G86" s="43">
        <f>SUMIFS(existingstable[Nameplate Capacity (MW)],existingstable[summary_status],'Tasmania Summary'!$B86,existingstable[summary_bucket],'Tasmania Summary'!G$83) + SUMIFS(existingnstable[Nameplate Capacity (MW)],existingnstable[summary_status],'Tasmania Summary'!$B86,existingnstable[summary_bucket],'Tasmania Summary'!G$83)</f>
        <v>0.2646</v>
      </c>
      <c r="H86" s="44">
        <f>SUMIFS(existingstable[Nameplate Capacity (MW)],existingstable[summary_status],'Tasmania Summary'!$B86,existingstable[summary_bucket],'Tasmania Summary'!H$83) + SUMIFS(existingnstable[Nameplate Capacity (MW)],existingnstable[summary_status],'Tasmania Summary'!$B86,existingnstable[summary_bucket],'Tasmania Summary'!H$83)</f>
        <v>372.75</v>
      </c>
      <c r="I86" s="43">
        <f>SUMIFS(existingstable[Nameplate Capacity (MW)],existingstable[summary_status],'Tasmania Summary'!$B86,existingstable[summary_bucket],'Tasmania Summary'!I$83) + SUMIFS(existingnstable[Nameplate Capacity (MW)],existingnstable[summary_status],'Tasmania Summary'!$B86,existingnstable[summary_bucket],'Tasmania Summary'!I$83)</f>
        <v>2286.8000000000002</v>
      </c>
      <c r="J86" s="44">
        <f>SUMIFS(existingstable[Nameplate Capacity (MW)],existingstable[summary_status],'Tasmania Summary'!$B86,existingstable[summary_bucket],'Tasmania Summary'!J$83) + SUMIFS(existingnstable[Nameplate Capacity (MW)],existingnstable[summary_status],'Tasmania Summary'!$B86,existingnstable[summary_bucket],'Tasmania Summary'!J$83)</f>
        <v>4.9359999999999999</v>
      </c>
      <c r="K86" s="43">
        <f>SUMIFS(existingstable[Nameplate Capacity (MW)],existingstable[summary_status],'Tasmania Summary'!$B86,existingstable[summary_bucket],'Tasmania Summary'!K$83) + SUMIFS(existingnstable[Nameplate Capacity (MW)],existingnstable[summary_status],'Tasmania Summary'!$B86,existingnstable[summary_bucket],'Tasmania Summary'!K$83)</f>
        <v>0</v>
      </c>
      <c r="L86" s="44">
        <f>SUMIFS(existingstable[Nameplate Capacity (MW)],existingstable[summary_status],'Tasmania Summary'!$B86,existingstable[summary_bucket],'Tasmania Summary'!L$83) + SUMIFS(existingnstable[Nameplate Capacity (MW)],existingnstable[summary_status],'Tasmania Summary'!$B86,existingnstable[summary_bucket],'Tasmania Summary'!L$83)</f>
        <v>0</v>
      </c>
      <c r="M86" s="43">
        <f t="shared" si="1"/>
        <v>2842.7506000000003</v>
      </c>
    </row>
    <row r="87" spans="2:13">
      <c r="B87" s="3" t="s">
        <v>120</v>
      </c>
      <c r="C87" s="43">
        <f>SUMIFS(newdevtable[nameplatecapacity_mw_max],newdevtable[summary_status],'Tasmania Summary'!$B87,newdevtable[summary_bucket],'Tasmania Summary'!C$83)</f>
        <v>0</v>
      </c>
      <c r="D87" s="44">
        <f>SUMIFS(newdevtable[nameplatecapacity_mw_max],newdevtable[summary_status],'Tasmania Summary'!$B87,newdevtable[summary_bucket],'Tasmania Summary'!D$83)</f>
        <v>0</v>
      </c>
      <c r="E87" s="43">
        <f>SUMIFS(newdevtable[nameplatecapacity_mw_max],newdevtable[summary_status],'Tasmania Summary'!$B87,newdevtable[summary_bucket],'Tasmania Summary'!E$83)</f>
        <v>0</v>
      </c>
      <c r="F87" s="44">
        <f>SUMIFS(newdevtable[nameplatecapacity_mw_max],newdevtable[summary_status],'Tasmania Summary'!$B87,newdevtable[summary_bucket],'Tasmania Summary'!F$83)</f>
        <v>0</v>
      </c>
      <c r="G87" s="43">
        <f>SUMIFS(newdevtable[nameplatecapacity_mw_max],newdevtable[summary_status],'Tasmania Summary'!$B87,newdevtable[summary_bucket],'Tasmania Summary'!G$83)</f>
        <v>0</v>
      </c>
      <c r="H87" s="44">
        <f>SUMIFS(newdevtable[nameplatecapacity_mw_max],newdevtable[summary_status],'Tasmania Summary'!$B87,newdevtable[summary_bucket],'Tasmania Summary'!H$83)</f>
        <v>255.6</v>
      </c>
      <c r="I87" s="43">
        <f>SUMIFS(newdevtable[nameplatecapacity_mw_max],newdevtable[summary_status],'Tasmania Summary'!$B87,newdevtable[summary_bucket],'Tasmania Summary'!I$83)</f>
        <v>0</v>
      </c>
      <c r="J87" s="44">
        <f>SUMIFS(newdevtable[nameplatecapacity_mw_max],newdevtable[summary_status],'Tasmania Summary'!$B87,newdevtable[summary_bucket],'Tasmania Summary'!J$83)</f>
        <v>0</v>
      </c>
      <c r="K87" s="43">
        <f>SUMIFS(newdevtable[nameplatecapacity_mw_max],newdevtable[summary_status],'Tasmania Summary'!$B87,newdevtable[summary_bucket],'Tasmania Summary'!K$83)</f>
        <v>0</v>
      </c>
      <c r="L87" s="44">
        <f>SUMIFS(newdevtable[nameplatecapacity_mw_max],newdevtable[summary_status],'Tasmania Summary'!$B87,newdevtable[summary_bucket],'Tasmania Summary'!L$83)</f>
        <v>0</v>
      </c>
      <c r="M87" s="43">
        <f t="shared" si="1"/>
        <v>255.6</v>
      </c>
    </row>
    <row r="88" spans="2:13">
      <c r="B88" s="3" t="s">
        <v>121</v>
      </c>
      <c r="C88" s="43">
        <f>SUMIFS(newdevtable[nameplatecapacity_mw_max],newdevtable[summary_status],'Tasmania Summary'!$B88,newdevtable[summary_bucket],'Tasmania Summary'!C$83)</f>
        <v>0</v>
      </c>
      <c r="D88" s="44">
        <f>SUMIFS(newdevtable[nameplatecapacity_mw_max],newdevtable[summary_status],'Tasmania Summary'!$B88,newdevtable[summary_bucket],'Tasmania Summary'!D$83)</f>
        <v>0</v>
      </c>
      <c r="E88" s="43">
        <f>SUMIFS(newdevtable[nameplatecapacity_mw_max],newdevtable[summary_status],'Tasmania Summary'!$B88,newdevtable[summary_bucket],'Tasmania Summary'!E$83)</f>
        <v>0</v>
      </c>
      <c r="F88" s="44">
        <f>SUMIFS(newdevtable[nameplatecapacity_mw_max],newdevtable[summary_status],'Tasmania Summary'!$B88,newdevtable[summary_bucket],'Tasmania Summary'!F$83)</f>
        <v>0</v>
      </c>
      <c r="G88" s="43">
        <f>SUMIFS(newdevtable[nameplatecapacity_mw_max],newdevtable[summary_status],'Tasmania Summary'!$B88,newdevtable[summary_bucket],'Tasmania Summary'!G$83)</f>
        <v>17.5</v>
      </c>
      <c r="H88" s="44">
        <f>SUMIFS(newdevtable[nameplatecapacity_mw_max],newdevtable[summary_status],'Tasmania Summary'!$B88,newdevtable[summary_bucket],'Tasmania Summary'!H$83)</f>
        <v>542</v>
      </c>
      <c r="I88" s="43">
        <f>SUMIFS(newdevtable[nameplatecapacity_mw_max],newdevtable[summary_status],'Tasmania Summary'!$B88,newdevtable[summary_bucket],'Tasmania Summary'!I$83)</f>
        <v>2310</v>
      </c>
      <c r="J88" s="44">
        <f>SUMIFS(newdevtable[nameplatecapacity_mw_max],newdevtable[summary_status],'Tasmania Summary'!$B88,newdevtable[summary_bucket],'Tasmania Summary'!J$83)</f>
        <v>0</v>
      </c>
      <c r="K88" s="43">
        <f>SUMIFS(newdevtable[nameplatecapacity_mw_max],newdevtable[summary_status],'Tasmania Summary'!$B88,newdevtable[summary_bucket],'Tasmania Summary'!K$83)</f>
        <v>0</v>
      </c>
      <c r="L88" s="44">
        <f>SUMIFS(newdevtable[nameplatecapacity_mw_max],newdevtable[summary_status],'Tasmania Summary'!$B88,newdevtable[summary_bucket],'Tasmania Summary'!L$83)</f>
        <v>0</v>
      </c>
      <c r="M88" s="43">
        <f>SUM(C88:L88)</f>
        <v>2869.5</v>
      </c>
    </row>
    <row r="89" spans="2:13">
      <c r="B89" s="3" t="s">
        <v>122</v>
      </c>
      <c r="C89" s="43">
        <f>SUMIFS(existingstable[Nameplate Capacity (MW)],existingstable[summary_status],'Tasmania Summary'!$B89,existingstable[summary_bucket],'Tasmania Summary'!C$83) + SUMIFS(existingnstable[Nameplate Capacity (MW)],existingnstable[summary_status],'Tasmania Summary'!$B89,existingnstable[summary_bucket],'Tasmania Summary'!C$83)</f>
        <v>0</v>
      </c>
      <c r="D89" s="44">
        <f>SUMIFS(existingstable[Nameplate Capacity (MW)],existingstable[summary_status],'Tasmania Summary'!$B89,existingstable[summary_bucket],'Tasmania Summary'!D$83) + SUMIFS(existingnstable[Nameplate Capacity (MW)],existingnstable[summary_status],'Tasmania Summary'!$B89,existingnstable[summary_bucket],'Tasmania Summary'!D$83)</f>
        <v>0</v>
      </c>
      <c r="E89" s="43">
        <f>SUMIFS(existingstable[Nameplate Capacity (MW)],existingstable[summary_status],'Tasmania Summary'!$B89,existingstable[summary_bucket],'Tasmania Summary'!E$83) + SUMIFS(existingnstable[Nameplate Capacity (MW)],existingnstable[summary_status],'Tasmania Summary'!$B89,existingnstable[summary_bucket],'Tasmania Summary'!E$83)</f>
        <v>0</v>
      </c>
      <c r="F89" s="44">
        <f>SUMIFS(existingstable[Nameplate Capacity (MW)],existingstable[summary_status],'Tasmania Summary'!$B89,existingstable[summary_bucket],'Tasmania Summary'!F$83) + SUMIFS(existingnstable[Nameplate Capacity (MW)],existingnstable[summary_status],'Tasmania Summary'!$B89,existingnstable[summary_bucket],'Tasmania Summary'!F$83)</f>
        <v>0</v>
      </c>
      <c r="G89" s="43">
        <f>SUMIFS(existingstable[Nameplate Capacity (MW)],existingstable[summary_status],'Tasmania Summary'!$B89,existingstable[summary_bucket],'Tasmania Summary'!G$83) + SUMIFS(existingnstable[Nameplate Capacity (MW)],existingnstable[summary_status],'Tasmania Summary'!$B89,existingnstable[summary_bucket],'Tasmania Summary'!G$83)</f>
        <v>0</v>
      </c>
      <c r="H89" s="44">
        <f>SUMIFS(existingstable[Nameplate Capacity (MW)],existingstable[summary_status],'Tasmania Summary'!$B89,existingstable[summary_bucket],'Tasmania Summary'!H$83) + SUMIFS(existingnstable[Nameplate Capacity (MW)],existingnstable[summary_status],'Tasmania Summary'!$B89,existingnstable[summary_bucket],'Tasmania Summary'!H$83)</f>
        <v>0</v>
      </c>
      <c r="I89" s="43">
        <f>SUMIFS(existingstable[Nameplate Capacity (MW)],existingstable[summary_status],'Tasmania Summary'!$B89,existingstable[summary_bucket],'Tasmania Summary'!I$83) + SUMIFS(existingnstable[Nameplate Capacity (MW)],existingnstable[summary_status],'Tasmania Summary'!$B89,existingnstable[summary_bucket],'Tasmania Summary'!I$83)</f>
        <v>0</v>
      </c>
      <c r="J89" s="44">
        <f>SUMIFS(existingstable[Nameplate Capacity (MW)],existingstable[summary_status],'Tasmania Summary'!$B89,existingstable[summary_bucket],'Tasmania Summary'!J$83) + SUMIFS(existingnstable[Nameplate Capacity (MW)],existingnstable[summary_status],'Tasmania Summary'!$B89,existingnstable[summary_bucket],'Tasmania Summary'!J$83)</f>
        <v>0</v>
      </c>
      <c r="K89" s="43">
        <f>SUMIFS(existingstable[Nameplate Capacity (MW)],existingstable[summary_status],'Tasmania Summary'!$B89,existingstable[summary_bucket],'Tasmania Summary'!K$83) + SUMIFS(existingnstable[Nameplate Capacity (MW)],existingnstable[summary_status],'Tasmania Summary'!$B89,existingnstable[summary_bucket],'Tasmania Summary'!K$83)</f>
        <v>0</v>
      </c>
      <c r="L89" s="44">
        <f>SUMIFS(existingstable[Nameplate Capacity (MW)],existingstable[summary_status],'Tasmania Summary'!$B89,existingstable[summary_bucket],'Tasmania Summary'!L$83) + SUMIFS(existingnstable[Nameplate Capacity (MW)],existingnstable[summary_status],'Tasmania Summary'!$B89,existingnstable[summary_bucket],'Tasmania Summary'!L$83)</f>
        <v>0</v>
      </c>
      <c r="M89" s="43">
        <f t="shared" si="1"/>
        <v>0</v>
      </c>
    </row>
    <row r="90" spans="2:13">
      <c r="B90" s="154" t="s">
        <v>123</v>
      </c>
      <c r="C90" s="155"/>
      <c r="D90" s="155"/>
      <c r="E90" s="155"/>
      <c r="F90" s="155"/>
      <c r="G90" s="155"/>
      <c r="H90" s="155"/>
      <c r="I90" s="155"/>
      <c r="J90" s="155"/>
      <c r="K90" s="155"/>
      <c r="L90" s="155"/>
    </row>
    <row r="91" spans="2:13">
      <c r="B91" s="154" t="s">
        <v>273</v>
      </c>
      <c r="C91" s="155"/>
      <c r="D91" s="155"/>
      <c r="E91" s="155"/>
      <c r="F91" s="155"/>
      <c r="G91" s="155"/>
      <c r="H91" s="155"/>
      <c r="I91" s="155"/>
      <c r="J91" s="155"/>
      <c r="K91" s="155"/>
    </row>
  </sheetData>
  <mergeCells count="19">
    <mergeCell ref="B91:K91"/>
    <mergeCell ref="B58:J58"/>
    <mergeCell ref="B90:L90"/>
    <mergeCell ref="B5:H5"/>
    <mergeCell ref="B14:E14"/>
    <mergeCell ref="B16:J16"/>
    <mergeCell ref="B19:J19"/>
    <mergeCell ref="B50:J50"/>
    <mergeCell ref="B12:K12"/>
    <mergeCell ref="B23:J23"/>
    <mergeCell ref="B22:J22"/>
    <mergeCell ref="B30:J30"/>
    <mergeCell ref="B37:J37"/>
    <mergeCell ref="B38:J38"/>
    <mergeCell ref="B45:J45"/>
    <mergeCell ref="B46:J46"/>
    <mergeCell ref="B47:J47"/>
    <mergeCell ref="B48:J48"/>
    <mergeCell ref="B49:J49"/>
  </mergeCells>
  <hyperlinks>
    <hyperlink ref="B5:H5" r:id="rId1" display="http://www.aemo.com.au/Electricity/National-Electricity-Market-NEM/Planning-and-forecasting/Generation-information" xr:uid="{00000000-0004-0000-0000-000000000000}"/>
  </hyperlinks>
  <pageMargins left="0.7" right="0.7" top="0.75" bottom="0.75" header="0.3" footer="0.3"/>
  <pageSetup paperSize="9"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Q78"/>
  <sheetViews>
    <sheetView showGridLines="0" workbookViewId="0"/>
  </sheetViews>
  <sheetFormatPr defaultColWidth="9.140625" defaultRowHeight="15"/>
  <cols>
    <col min="1" max="1" width="4.7109375" style="11" customWidth="1"/>
    <col min="2" max="10" width="9.140625" style="11"/>
    <col min="11" max="11" width="15" style="11" customWidth="1"/>
    <col min="12" max="16384" width="9.140625" style="11"/>
  </cols>
  <sheetData>
    <row r="1" spans="2:11" ht="20.25" thickBot="1">
      <c r="B1" s="1" t="s">
        <v>176</v>
      </c>
    </row>
    <row r="2" spans="2:11">
      <c r="B2" s="45" t="s">
        <v>177</v>
      </c>
      <c r="C2" s="30"/>
      <c r="D2" s="30"/>
      <c r="E2" s="30"/>
      <c r="F2" s="30"/>
      <c r="G2" s="30"/>
      <c r="H2" s="30"/>
      <c r="I2" s="30"/>
      <c r="J2" s="30"/>
      <c r="K2" s="30"/>
    </row>
    <row r="3" spans="2:11">
      <c r="B3" s="30"/>
      <c r="C3" s="30"/>
      <c r="D3" s="30"/>
      <c r="E3" s="30"/>
      <c r="F3" s="30"/>
      <c r="G3" s="30"/>
      <c r="H3" s="30"/>
      <c r="I3" s="30"/>
      <c r="J3" s="30"/>
      <c r="K3" s="30"/>
    </row>
    <row r="4" spans="2:11">
      <c r="B4" s="29" t="s">
        <v>178</v>
      </c>
      <c r="C4" s="30"/>
      <c r="D4" s="46">
        <v>41263</v>
      </c>
      <c r="E4" s="47"/>
      <c r="F4" s="47"/>
      <c r="G4" s="47"/>
      <c r="H4" s="47"/>
      <c r="I4" s="47"/>
      <c r="J4" s="47"/>
      <c r="K4" s="47"/>
    </row>
    <row r="5" spans="2:11" ht="26.25" customHeight="1">
      <c r="B5" s="162" t="s">
        <v>179</v>
      </c>
      <c r="C5" s="162"/>
      <c r="D5" s="162"/>
      <c r="E5" s="162"/>
      <c r="F5" s="162"/>
      <c r="G5" s="162"/>
      <c r="H5" s="162"/>
      <c r="I5" s="162"/>
      <c r="J5" s="162"/>
      <c r="K5" s="162"/>
    </row>
    <row r="6" spans="2:11">
      <c r="B6" s="48"/>
      <c r="C6" s="48"/>
      <c r="D6" s="48"/>
      <c r="E6" s="48"/>
      <c r="F6" s="48"/>
      <c r="G6" s="48"/>
      <c r="H6" s="48"/>
      <c r="I6" s="48"/>
      <c r="J6" s="48"/>
      <c r="K6" s="48"/>
    </row>
    <row r="7" spans="2:11">
      <c r="B7" s="29" t="s">
        <v>178</v>
      </c>
      <c r="C7" s="30"/>
      <c r="D7" s="49">
        <v>41327</v>
      </c>
      <c r="E7" s="48"/>
      <c r="F7" s="48"/>
      <c r="G7" s="48"/>
      <c r="H7" s="48"/>
      <c r="I7" s="48"/>
      <c r="J7" s="48"/>
      <c r="K7" s="48"/>
    </row>
    <row r="8" spans="2:11" ht="28.5" customHeight="1">
      <c r="B8" s="158" t="s">
        <v>180</v>
      </c>
      <c r="C8" s="158"/>
      <c r="D8" s="158"/>
      <c r="E8" s="158"/>
      <c r="F8" s="158"/>
      <c r="G8" s="158"/>
      <c r="H8" s="158"/>
      <c r="I8" s="158"/>
      <c r="J8" s="158"/>
      <c r="K8" s="158"/>
    </row>
    <row r="9" spans="2:11" ht="28.5" customHeight="1">
      <c r="B9" s="158" t="s">
        <v>181</v>
      </c>
      <c r="C9" s="158"/>
      <c r="D9" s="158"/>
      <c r="E9" s="158"/>
      <c r="F9" s="158"/>
      <c r="G9" s="158"/>
      <c r="H9" s="158"/>
      <c r="I9" s="158"/>
      <c r="J9" s="158"/>
      <c r="K9" s="158"/>
    </row>
    <row r="10" spans="2:11">
      <c r="B10" s="158"/>
      <c r="C10" s="158"/>
      <c r="D10" s="158"/>
      <c r="E10" s="158"/>
      <c r="F10" s="158"/>
      <c r="G10" s="158"/>
      <c r="H10" s="158"/>
      <c r="I10" s="158"/>
      <c r="J10" s="158"/>
      <c r="K10" s="158"/>
    </row>
    <row r="11" spans="2:11">
      <c r="B11" s="29" t="s">
        <v>178</v>
      </c>
      <c r="C11" s="30"/>
      <c r="D11" s="46">
        <v>41455</v>
      </c>
      <c r="E11" s="47"/>
      <c r="F11" s="47"/>
      <c r="G11" s="47"/>
      <c r="H11" s="47"/>
      <c r="I11" s="47"/>
      <c r="J11" s="47"/>
      <c r="K11" s="47"/>
    </row>
    <row r="12" spans="2:11" ht="30" customHeight="1">
      <c r="B12" s="162" t="s">
        <v>182</v>
      </c>
      <c r="C12" s="162"/>
      <c r="D12" s="162"/>
      <c r="E12" s="162"/>
      <c r="F12" s="162"/>
      <c r="G12" s="162"/>
      <c r="H12" s="162"/>
      <c r="I12" s="162"/>
      <c r="J12" s="162"/>
      <c r="K12" s="162"/>
    </row>
    <row r="13" spans="2:11" ht="24.75" customHeight="1">
      <c r="B13" s="162" t="s">
        <v>183</v>
      </c>
      <c r="C13" s="162"/>
      <c r="D13" s="162"/>
      <c r="E13" s="162"/>
      <c r="F13" s="162"/>
      <c r="G13" s="162"/>
      <c r="H13" s="162"/>
      <c r="I13" s="162"/>
      <c r="J13" s="162"/>
      <c r="K13" s="162"/>
    </row>
    <row r="14" spans="2:11" ht="13.5" customHeight="1">
      <c r="B14" s="158"/>
      <c r="C14" s="158"/>
      <c r="D14" s="158"/>
      <c r="E14" s="158"/>
      <c r="F14" s="158"/>
      <c r="G14" s="158"/>
      <c r="H14" s="158"/>
      <c r="I14" s="158"/>
      <c r="J14" s="158"/>
      <c r="K14" s="158"/>
    </row>
    <row r="15" spans="2:11">
      <c r="B15" s="29" t="s">
        <v>178</v>
      </c>
      <c r="C15" s="30"/>
      <c r="D15" s="46">
        <v>41593</v>
      </c>
      <c r="E15" s="47"/>
      <c r="F15" s="47"/>
      <c r="G15" s="47"/>
      <c r="H15" s="47"/>
      <c r="I15" s="47"/>
      <c r="J15" s="47"/>
      <c r="K15" s="47"/>
    </row>
    <row r="16" spans="2:11" ht="24" customHeight="1">
      <c r="B16" s="158" t="s">
        <v>184</v>
      </c>
      <c r="C16" s="158"/>
      <c r="D16" s="158"/>
      <c r="E16" s="158"/>
      <c r="F16" s="158"/>
      <c r="G16" s="158"/>
      <c r="H16" s="158"/>
      <c r="I16" s="158"/>
      <c r="J16" s="158"/>
      <c r="K16" s="158"/>
    </row>
    <row r="17" spans="2:11">
      <c r="B17" s="162" t="s">
        <v>336</v>
      </c>
      <c r="C17" s="162"/>
      <c r="D17" s="162"/>
      <c r="E17" s="162"/>
      <c r="F17" s="162"/>
      <c r="G17" s="162"/>
      <c r="H17" s="162"/>
      <c r="I17" s="162"/>
      <c r="J17" s="162"/>
      <c r="K17" s="162"/>
    </row>
    <row r="18" spans="2:11">
      <c r="B18" s="158"/>
      <c r="C18" s="158"/>
      <c r="D18" s="158"/>
      <c r="E18" s="158"/>
      <c r="F18" s="158"/>
      <c r="G18" s="158"/>
      <c r="H18" s="158"/>
      <c r="I18" s="158"/>
      <c r="J18" s="158"/>
      <c r="K18" s="158"/>
    </row>
    <row r="19" spans="2:11">
      <c r="B19" s="29" t="s">
        <v>178</v>
      </c>
      <c r="C19" s="30"/>
      <c r="D19" s="46">
        <v>41983</v>
      </c>
      <c r="E19" s="29"/>
      <c r="F19" s="29"/>
      <c r="G19" s="29"/>
      <c r="H19" s="29"/>
      <c r="I19" s="158"/>
      <c r="J19" s="158"/>
      <c r="K19" s="158"/>
    </row>
    <row r="20" spans="2:11" ht="39" customHeight="1">
      <c r="B20" s="157" t="s">
        <v>185</v>
      </c>
      <c r="C20" s="157"/>
      <c r="D20" s="157"/>
      <c r="E20" s="157"/>
      <c r="F20" s="157"/>
      <c r="G20" s="157"/>
      <c r="H20" s="157"/>
      <c r="I20" s="157"/>
      <c r="J20" s="157"/>
      <c r="K20" s="157"/>
    </row>
    <row r="21" spans="2:11" ht="39" customHeight="1">
      <c r="B21" s="161" t="s">
        <v>186</v>
      </c>
      <c r="C21" s="161"/>
      <c r="D21" s="161"/>
      <c r="E21" s="161"/>
      <c r="F21" s="161"/>
      <c r="G21" s="161"/>
      <c r="H21" s="161"/>
      <c r="I21" s="161"/>
      <c r="J21" s="161"/>
      <c r="K21" s="161"/>
    </row>
    <row r="22" spans="2:11" ht="49.5" customHeight="1">
      <c r="B22" s="148" t="s">
        <v>187</v>
      </c>
      <c r="C22" s="148"/>
      <c r="D22" s="148"/>
      <c r="E22" s="148"/>
      <c r="F22" s="148"/>
      <c r="G22" s="148"/>
      <c r="H22" s="148"/>
      <c r="I22" s="148"/>
      <c r="J22" s="148"/>
      <c r="K22" s="148"/>
    </row>
    <row r="23" spans="2:11" ht="24.75" customHeight="1">
      <c r="B23" s="161" t="s">
        <v>166</v>
      </c>
      <c r="C23" s="161"/>
      <c r="D23" s="161"/>
      <c r="E23" s="161"/>
      <c r="F23" s="161"/>
      <c r="G23" s="161"/>
      <c r="H23" s="161"/>
      <c r="I23" s="161"/>
      <c r="J23" s="161"/>
      <c r="K23" s="161"/>
    </row>
    <row r="24" spans="2:11" ht="22.5" customHeight="1">
      <c r="B24" s="148" t="s">
        <v>188</v>
      </c>
      <c r="C24" s="148"/>
      <c r="D24" s="148"/>
      <c r="E24" s="148"/>
      <c r="F24" s="148"/>
      <c r="G24" s="148"/>
      <c r="H24" s="148"/>
      <c r="I24" s="148"/>
      <c r="J24" s="148"/>
      <c r="K24" s="148"/>
    </row>
    <row r="25" spans="2:11" ht="28.5" customHeight="1">
      <c r="B25" s="148" t="s">
        <v>189</v>
      </c>
      <c r="C25" s="148"/>
      <c r="D25" s="148"/>
      <c r="E25" s="148"/>
      <c r="F25" s="148"/>
      <c r="G25" s="148"/>
      <c r="H25" s="148"/>
      <c r="I25" s="148"/>
      <c r="J25" s="148"/>
      <c r="K25" s="148"/>
    </row>
    <row r="26" spans="2:11">
      <c r="B26" s="159" t="s">
        <v>190</v>
      </c>
      <c r="C26" s="159"/>
      <c r="D26" s="159"/>
      <c r="E26" s="159"/>
      <c r="F26" s="159"/>
      <c r="G26" s="159"/>
      <c r="H26" s="159"/>
      <c r="I26" s="159"/>
      <c r="J26" s="159"/>
      <c r="K26" s="159"/>
    </row>
    <row r="27" spans="2:11">
      <c r="B27" s="159" t="s">
        <v>191</v>
      </c>
      <c r="C27" s="159"/>
      <c r="D27" s="159"/>
      <c r="E27" s="159"/>
      <c r="F27" s="159"/>
      <c r="G27" s="159"/>
      <c r="H27" s="159"/>
      <c r="I27" s="159"/>
      <c r="J27" s="159"/>
      <c r="K27" s="159"/>
    </row>
    <row r="28" spans="2:11">
      <c r="B28" s="159" t="s">
        <v>192</v>
      </c>
      <c r="C28" s="159"/>
      <c r="D28" s="159"/>
      <c r="E28" s="159"/>
      <c r="F28" s="159"/>
      <c r="G28" s="159"/>
      <c r="H28" s="159"/>
      <c r="I28" s="159"/>
      <c r="J28" s="159"/>
      <c r="K28" s="159"/>
    </row>
    <row r="29" spans="2:11" ht="27" customHeight="1">
      <c r="B29" s="160" t="s">
        <v>193</v>
      </c>
      <c r="C29" s="160"/>
      <c r="D29" s="160"/>
      <c r="E29" s="160"/>
      <c r="F29" s="160"/>
      <c r="G29" s="160"/>
      <c r="H29" s="160"/>
      <c r="I29" s="160"/>
      <c r="J29" s="160"/>
      <c r="K29" s="160"/>
    </row>
    <row r="30" spans="2:11">
      <c r="B30" s="45"/>
      <c r="C30" s="45"/>
      <c r="D30" s="45"/>
      <c r="E30" s="45"/>
      <c r="F30" s="45"/>
      <c r="G30" s="45"/>
      <c r="H30" s="45"/>
      <c r="I30" s="45"/>
      <c r="J30" s="45"/>
      <c r="K30" s="45"/>
    </row>
    <row r="31" spans="2:11">
      <c r="B31" s="29" t="s">
        <v>178</v>
      </c>
      <c r="C31" s="30"/>
      <c r="D31" s="46">
        <v>42229</v>
      </c>
      <c r="E31" s="45"/>
      <c r="F31" s="45"/>
      <c r="G31" s="45"/>
      <c r="H31" s="45"/>
      <c r="I31" s="45"/>
      <c r="J31" s="45"/>
      <c r="K31" s="45"/>
    </row>
    <row r="32" spans="2:11" ht="36.75" customHeight="1">
      <c r="B32" s="157" t="s">
        <v>194</v>
      </c>
      <c r="C32" s="157"/>
      <c r="D32" s="157"/>
      <c r="E32" s="157"/>
      <c r="F32" s="157"/>
      <c r="G32" s="157"/>
      <c r="H32" s="157"/>
      <c r="I32" s="157"/>
      <c r="J32" s="157"/>
      <c r="K32" s="157"/>
    </row>
    <row r="33" spans="2:11" ht="34.5" customHeight="1">
      <c r="B33" s="157" t="s">
        <v>195</v>
      </c>
      <c r="C33" s="157"/>
      <c r="D33" s="157"/>
      <c r="E33" s="157"/>
      <c r="F33" s="157"/>
      <c r="G33" s="157"/>
      <c r="H33" s="157"/>
      <c r="I33" s="157"/>
      <c r="J33" s="157"/>
      <c r="K33" s="157"/>
    </row>
    <row r="34" spans="2:11" ht="33" customHeight="1">
      <c r="B34" s="157" t="s">
        <v>196</v>
      </c>
      <c r="C34" s="157"/>
      <c r="D34" s="157"/>
      <c r="E34" s="157"/>
      <c r="F34" s="157"/>
      <c r="G34" s="157"/>
      <c r="H34" s="157"/>
      <c r="I34" s="157"/>
      <c r="J34" s="157"/>
      <c r="K34" s="157"/>
    </row>
    <row r="35" spans="2:11">
      <c r="B35" s="158"/>
      <c r="C35" s="158"/>
      <c r="D35" s="158"/>
      <c r="E35" s="158"/>
      <c r="F35" s="158"/>
      <c r="G35" s="158"/>
      <c r="H35" s="158"/>
      <c r="I35" s="158"/>
      <c r="J35" s="158"/>
      <c r="K35" s="158"/>
    </row>
    <row r="36" spans="2:11">
      <c r="B36" s="29" t="s">
        <v>178</v>
      </c>
      <c r="C36" s="50"/>
      <c r="D36" s="51">
        <v>42432</v>
      </c>
      <c r="E36" s="45"/>
      <c r="F36" s="45"/>
      <c r="G36" s="45"/>
      <c r="H36" s="45"/>
      <c r="I36" s="45"/>
      <c r="J36" s="45"/>
      <c r="K36" s="45"/>
    </row>
    <row r="37" spans="2:11" ht="27" customHeight="1">
      <c r="B37" s="157" t="s">
        <v>197</v>
      </c>
      <c r="C37" s="157"/>
      <c r="D37" s="157"/>
      <c r="E37" s="157"/>
      <c r="F37" s="157"/>
      <c r="G37" s="157"/>
      <c r="H37" s="157"/>
      <c r="I37" s="157"/>
      <c r="J37" s="157"/>
      <c r="K37" s="157"/>
    </row>
    <row r="38" spans="2:11" ht="34.5" customHeight="1">
      <c r="B38" s="157" t="s">
        <v>198</v>
      </c>
      <c r="C38" s="157"/>
      <c r="D38" s="157"/>
      <c r="E38" s="157"/>
      <c r="F38" s="157"/>
      <c r="G38" s="157"/>
      <c r="H38" s="157"/>
      <c r="I38" s="157"/>
      <c r="J38" s="157"/>
      <c r="K38" s="157"/>
    </row>
    <row r="39" spans="2:11" ht="33" customHeight="1">
      <c r="B39" s="157" t="s">
        <v>199</v>
      </c>
      <c r="C39" s="157"/>
      <c r="D39" s="157"/>
      <c r="E39" s="157"/>
      <c r="F39" s="157"/>
      <c r="G39" s="157"/>
      <c r="H39" s="157"/>
      <c r="I39" s="157"/>
      <c r="J39" s="157"/>
      <c r="K39" s="157"/>
    </row>
    <row r="40" spans="2:11" ht="20.25" customHeight="1">
      <c r="B40" s="158"/>
      <c r="C40" s="158"/>
      <c r="D40" s="158"/>
      <c r="E40" s="158"/>
      <c r="F40" s="158"/>
      <c r="G40" s="158"/>
      <c r="H40" s="158"/>
      <c r="I40" s="158"/>
      <c r="J40" s="158"/>
      <c r="K40" s="158"/>
    </row>
    <row r="41" spans="2:11">
      <c r="B41" s="29" t="s">
        <v>178</v>
      </c>
      <c r="C41" s="50"/>
      <c r="D41" s="51">
        <v>42475</v>
      </c>
      <c r="E41" s="45"/>
      <c r="F41" s="45"/>
      <c r="G41" s="45"/>
      <c r="H41" s="45"/>
      <c r="I41" s="45"/>
      <c r="J41" s="45"/>
      <c r="K41" s="45"/>
    </row>
    <row r="42" spans="2:11" ht="27.75" customHeight="1">
      <c r="B42" s="157" t="s">
        <v>197</v>
      </c>
      <c r="C42" s="157"/>
      <c r="D42" s="157"/>
      <c r="E42" s="157"/>
      <c r="F42" s="157"/>
      <c r="G42" s="157"/>
      <c r="H42" s="157"/>
      <c r="I42" s="157"/>
      <c r="J42" s="157"/>
      <c r="K42" s="157"/>
    </row>
    <row r="43" spans="2:11" ht="28.5" customHeight="1">
      <c r="B43" s="157" t="s">
        <v>200</v>
      </c>
      <c r="C43" s="157"/>
      <c r="D43" s="157"/>
      <c r="E43" s="157"/>
      <c r="F43" s="157"/>
      <c r="G43" s="157"/>
      <c r="H43" s="157"/>
      <c r="I43" s="157"/>
      <c r="J43" s="157"/>
      <c r="K43" s="157"/>
    </row>
    <row r="44" spans="2:11" ht="34.5" customHeight="1">
      <c r="B44" s="157" t="s">
        <v>199</v>
      </c>
      <c r="C44" s="157"/>
      <c r="D44" s="157"/>
      <c r="E44" s="157"/>
      <c r="F44" s="157"/>
      <c r="G44" s="157"/>
      <c r="H44" s="157"/>
      <c r="I44" s="157"/>
      <c r="J44" s="157"/>
      <c r="K44" s="157"/>
    </row>
    <row r="46" spans="2:11">
      <c r="B46" s="29" t="s">
        <v>178</v>
      </c>
      <c r="C46" s="50"/>
      <c r="D46" s="51">
        <v>42593</v>
      </c>
      <c r="E46" s="45"/>
      <c r="F46" s="45"/>
      <c r="G46" s="45"/>
      <c r="H46" s="45"/>
    </row>
    <row r="47" spans="2:11" ht="25.5" customHeight="1">
      <c r="B47" s="156" t="s">
        <v>201</v>
      </c>
      <c r="C47" s="156"/>
      <c r="D47" s="156"/>
      <c r="E47" s="156"/>
      <c r="F47" s="156"/>
      <c r="G47" s="156"/>
      <c r="H47" s="156"/>
      <c r="I47" s="156"/>
      <c r="J47" s="156"/>
      <c r="K47" s="156"/>
    </row>
    <row r="48" spans="2:11" ht="25.5" customHeight="1">
      <c r="B48" s="156" t="s">
        <v>202</v>
      </c>
      <c r="C48" s="156"/>
      <c r="D48" s="156"/>
      <c r="E48" s="156"/>
      <c r="F48" s="156"/>
      <c r="G48" s="156"/>
      <c r="H48" s="156"/>
      <c r="I48" s="156"/>
      <c r="J48" s="156"/>
      <c r="K48" s="156"/>
    </row>
    <row r="50" spans="2:17">
      <c r="B50" s="29" t="s">
        <v>178</v>
      </c>
      <c r="C50" s="50"/>
      <c r="D50" s="51">
        <v>42692</v>
      </c>
      <c r="E50" s="45"/>
      <c r="F50" s="45"/>
      <c r="G50" s="45"/>
      <c r="H50" s="45"/>
    </row>
    <row r="51" spans="2:17" ht="27.75" customHeight="1">
      <c r="B51" s="156" t="s">
        <v>203</v>
      </c>
      <c r="C51" s="156"/>
      <c r="D51" s="156"/>
      <c r="E51" s="156"/>
      <c r="F51" s="156"/>
      <c r="G51" s="156"/>
      <c r="H51" s="156"/>
      <c r="I51" s="156"/>
      <c r="J51" s="156"/>
      <c r="K51" s="156"/>
      <c r="L51" s="31"/>
      <c r="M51" s="31"/>
      <c r="N51" s="31"/>
      <c r="O51" s="31"/>
      <c r="P51" s="31"/>
      <c r="Q51" s="31"/>
    </row>
    <row r="53" spans="2:17">
      <c r="B53" s="29" t="s">
        <v>178</v>
      </c>
      <c r="C53" s="50"/>
      <c r="D53" s="51">
        <v>42793</v>
      </c>
      <c r="E53" s="45"/>
      <c r="F53" s="45"/>
      <c r="G53" s="45"/>
      <c r="H53" s="45"/>
    </row>
    <row r="54" spans="2:17" ht="36" customHeight="1">
      <c r="B54" s="148" t="s">
        <v>204</v>
      </c>
      <c r="C54" s="148"/>
      <c r="D54" s="148"/>
      <c r="E54" s="148"/>
      <c r="F54" s="148"/>
      <c r="G54" s="148"/>
      <c r="H54" s="148"/>
      <c r="I54" s="148"/>
      <c r="J54" s="148"/>
      <c r="K54" s="148"/>
      <c r="L54" s="31"/>
      <c r="M54" s="31"/>
      <c r="N54" s="31"/>
      <c r="O54" s="31"/>
      <c r="P54" s="31"/>
      <c r="Q54" s="31"/>
    </row>
    <row r="55" spans="2:17">
      <c r="B55" s="29" t="s">
        <v>178</v>
      </c>
      <c r="C55" s="50"/>
      <c r="D55" s="51">
        <v>42891</v>
      </c>
    </row>
    <row r="56" spans="2:17" ht="36" customHeight="1">
      <c r="B56" s="153" t="s">
        <v>147</v>
      </c>
      <c r="C56" s="153"/>
      <c r="D56" s="153"/>
      <c r="E56" s="153"/>
      <c r="F56" s="153"/>
      <c r="G56" s="153"/>
      <c r="H56" s="153"/>
      <c r="I56" s="153"/>
      <c r="J56" s="153"/>
      <c r="K56" s="153"/>
    </row>
    <row r="57" spans="2:17" ht="31.15" customHeight="1">
      <c r="B57" s="152" t="s">
        <v>154</v>
      </c>
      <c r="C57" s="152"/>
      <c r="D57" s="152"/>
      <c r="E57" s="152"/>
      <c r="F57" s="152"/>
      <c r="G57" s="152"/>
      <c r="H57" s="152"/>
      <c r="I57" s="152"/>
      <c r="J57" s="152"/>
      <c r="K57" s="152"/>
    </row>
    <row r="58" spans="2:17">
      <c r="B58" s="41" t="s">
        <v>155</v>
      </c>
      <c r="C58" s="38"/>
      <c r="D58" s="38"/>
      <c r="E58" s="38"/>
      <c r="F58" s="38"/>
      <c r="G58" s="38"/>
      <c r="H58" s="38"/>
      <c r="I58" s="38"/>
      <c r="J58" s="38"/>
      <c r="K58" s="38"/>
    </row>
    <row r="59" spans="2:17">
      <c r="B59" s="40" t="s">
        <v>156</v>
      </c>
      <c r="C59" s="39"/>
      <c r="D59" s="38"/>
      <c r="E59" s="38"/>
      <c r="F59" s="38"/>
      <c r="G59" s="38"/>
      <c r="H59" s="38"/>
      <c r="I59" s="38"/>
      <c r="J59" s="38"/>
      <c r="K59" s="38"/>
    </row>
    <row r="60" spans="2:17">
      <c r="B60" s="41" t="s">
        <v>157</v>
      </c>
      <c r="C60" s="38"/>
      <c r="D60" s="38"/>
      <c r="E60" s="38"/>
      <c r="F60" s="38"/>
      <c r="G60" s="38"/>
      <c r="H60" s="38"/>
      <c r="I60" s="38"/>
      <c r="J60" s="38"/>
      <c r="K60" s="38"/>
    </row>
    <row r="61" spans="2:17">
      <c r="B61" s="40" t="s">
        <v>158</v>
      </c>
      <c r="C61" s="39"/>
      <c r="D61" s="38"/>
      <c r="E61" s="38"/>
      <c r="F61" s="38"/>
      <c r="G61" s="38"/>
      <c r="H61" s="38"/>
      <c r="I61" s="38"/>
      <c r="J61" s="38"/>
      <c r="K61" s="38"/>
    </row>
    <row r="62" spans="2:17">
      <c r="B62" s="41" t="s">
        <v>159</v>
      </c>
      <c r="C62" s="38"/>
      <c r="D62" s="38"/>
      <c r="E62" s="38"/>
      <c r="F62" s="38"/>
      <c r="G62" s="38"/>
      <c r="H62" s="38"/>
      <c r="I62" s="38"/>
      <c r="J62" s="38"/>
      <c r="K62" s="38"/>
    </row>
    <row r="63" spans="2:17">
      <c r="B63" s="40" t="s">
        <v>160</v>
      </c>
      <c r="C63" s="39"/>
      <c r="D63" s="38"/>
      <c r="E63" s="38"/>
      <c r="F63" s="38"/>
      <c r="G63" s="38"/>
      <c r="H63" s="38"/>
      <c r="I63" s="38"/>
      <c r="J63" s="38"/>
      <c r="K63" s="38"/>
    </row>
    <row r="64" spans="2:17" ht="41.45" customHeight="1">
      <c r="B64" s="153" t="s">
        <v>162</v>
      </c>
      <c r="C64" s="153"/>
      <c r="D64" s="153"/>
      <c r="E64" s="153"/>
      <c r="F64" s="153"/>
      <c r="G64" s="153"/>
      <c r="H64" s="153"/>
      <c r="I64" s="153"/>
      <c r="J64" s="153"/>
      <c r="K64" s="153"/>
    </row>
    <row r="65" spans="2:11" ht="31.9" customHeight="1">
      <c r="B65" s="153" t="s">
        <v>163</v>
      </c>
      <c r="C65" s="153"/>
      <c r="D65" s="153"/>
      <c r="E65" s="153"/>
      <c r="F65" s="153"/>
      <c r="G65" s="153"/>
      <c r="H65" s="153"/>
      <c r="I65" s="153"/>
      <c r="J65" s="153"/>
      <c r="K65" s="153"/>
    </row>
    <row r="66" spans="2:11" ht="30.6" customHeight="1">
      <c r="B66" s="153" t="s">
        <v>165</v>
      </c>
      <c r="C66" s="153"/>
      <c r="D66" s="153"/>
      <c r="E66" s="153"/>
      <c r="F66" s="153"/>
      <c r="G66" s="153"/>
      <c r="H66" s="153"/>
      <c r="I66" s="153"/>
      <c r="J66" s="153"/>
      <c r="K66" s="153"/>
    </row>
    <row r="67" spans="2:11" ht="33" customHeight="1">
      <c r="B67" s="148" t="s">
        <v>141</v>
      </c>
      <c r="C67" s="148"/>
      <c r="D67" s="148"/>
      <c r="E67" s="148"/>
      <c r="F67" s="148"/>
      <c r="G67" s="148"/>
      <c r="H67" s="148"/>
      <c r="I67" s="148"/>
      <c r="J67" s="148"/>
      <c r="K67" s="148"/>
    </row>
    <row r="69" spans="2:11">
      <c r="B69" s="29" t="s">
        <v>178</v>
      </c>
      <c r="C69" s="50"/>
      <c r="D69" s="51">
        <v>43091</v>
      </c>
    </row>
    <row r="70" spans="2:11" ht="32.25" customHeight="1">
      <c r="B70" s="148" t="s">
        <v>205</v>
      </c>
      <c r="C70" s="148"/>
      <c r="D70" s="148"/>
      <c r="E70" s="148"/>
      <c r="F70" s="148"/>
      <c r="G70" s="148"/>
      <c r="H70" s="148"/>
      <c r="I70" s="148"/>
      <c r="J70" s="148"/>
      <c r="K70" s="148"/>
    </row>
    <row r="71" spans="2:11" ht="11.25" customHeight="1">
      <c r="B71" s="32"/>
      <c r="C71" s="32"/>
      <c r="D71" s="32"/>
      <c r="E71" s="32"/>
      <c r="F71" s="32"/>
      <c r="G71" s="32"/>
      <c r="H71" s="32"/>
      <c r="I71" s="32"/>
      <c r="J71" s="32"/>
      <c r="K71" s="32"/>
    </row>
    <row r="72" spans="2:11" s="84" customFormat="1" ht="11.25" customHeight="1">
      <c r="B72" s="86" t="s">
        <v>178</v>
      </c>
      <c r="C72" s="87"/>
      <c r="D72" s="88">
        <v>42810</v>
      </c>
      <c r="E72" s="85"/>
      <c r="F72" s="85"/>
      <c r="G72" s="85"/>
      <c r="H72" s="85"/>
      <c r="I72" s="85"/>
      <c r="J72" s="85"/>
      <c r="K72" s="85"/>
    </row>
    <row r="73" spans="2:11" s="84" customFormat="1" ht="30" customHeight="1">
      <c r="B73" s="148" t="s">
        <v>137</v>
      </c>
      <c r="C73" s="148"/>
      <c r="D73" s="148"/>
      <c r="E73" s="148"/>
      <c r="F73" s="148"/>
      <c r="G73" s="148"/>
      <c r="H73" s="148"/>
      <c r="I73" s="148"/>
      <c r="J73" s="148"/>
      <c r="K73" s="148"/>
    </row>
    <row r="74" spans="2:11" s="84" customFormat="1" ht="11.25" customHeight="1">
      <c r="B74" s="83"/>
      <c r="C74" s="83"/>
      <c r="D74" s="83"/>
      <c r="E74" s="83"/>
      <c r="F74" s="83"/>
      <c r="G74" s="83"/>
      <c r="H74" s="83"/>
      <c r="I74" s="83"/>
      <c r="J74" s="83"/>
      <c r="K74" s="83"/>
    </row>
    <row r="75" spans="2:11">
      <c r="B75" s="29" t="s">
        <v>178</v>
      </c>
      <c r="C75" s="50"/>
      <c r="D75" s="51">
        <v>43312</v>
      </c>
    </row>
    <row r="76" spans="2:11" ht="26.25" customHeight="1">
      <c r="B76" s="148" t="s">
        <v>235</v>
      </c>
      <c r="C76" s="148"/>
      <c r="D76" s="148"/>
      <c r="E76" s="148"/>
      <c r="F76" s="148"/>
      <c r="G76" s="148"/>
      <c r="H76" s="148"/>
      <c r="I76" s="148"/>
      <c r="J76" s="148"/>
      <c r="K76" s="148"/>
    </row>
    <row r="78" spans="2:11">
      <c r="B78" s="178" t="s">
        <v>338</v>
      </c>
    </row>
  </sheetData>
  <mergeCells count="50">
    <mergeCell ref="B76:K76"/>
    <mergeCell ref="B18:H18"/>
    <mergeCell ref="I18:K18"/>
    <mergeCell ref="B5:K5"/>
    <mergeCell ref="B8:K8"/>
    <mergeCell ref="B9:K9"/>
    <mergeCell ref="B10:H10"/>
    <mergeCell ref="I10:K10"/>
    <mergeCell ref="B12:K12"/>
    <mergeCell ref="B13:K13"/>
    <mergeCell ref="B14:H14"/>
    <mergeCell ref="I14:K14"/>
    <mergeCell ref="B16:K16"/>
    <mergeCell ref="B17:K17"/>
    <mergeCell ref="B32:K32"/>
    <mergeCell ref="I19:K19"/>
    <mergeCell ref="B20:K20"/>
    <mergeCell ref="B21:K21"/>
    <mergeCell ref="B22:K22"/>
    <mergeCell ref="B23:K23"/>
    <mergeCell ref="B24:K24"/>
    <mergeCell ref="B25:K25"/>
    <mergeCell ref="B26:K26"/>
    <mergeCell ref="B27:K27"/>
    <mergeCell ref="B28:K28"/>
    <mergeCell ref="B29:K29"/>
    <mergeCell ref="B44:K44"/>
    <mergeCell ref="B33:K33"/>
    <mergeCell ref="B34:K34"/>
    <mergeCell ref="B35:H35"/>
    <mergeCell ref="I35:K35"/>
    <mergeCell ref="B37:K37"/>
    <mergeCell ref="B38:K38"/>
    <mergeCell ref="B39:K39"/>
    <mergeCell ref="B40:H40"/>
    <mergeCell ref="I40:K40"/>
    <mergeCell ref="B42:K42"/>
    <mergeCell ref="B43:K43"/>
    <mergeCell ref="B47:K47"/>
    <mergeCell ref="B48:K48"/>
    <mergeCell ref="B51:K51"/>
    <mergeCell ref="B54:K54"/>
    <mergeCell ref="B56:K56"/>
    <mergeCell ref="B70:K70"/>
    <mergeCell ref="B73:K73"/>
    <mergeCell ref="B57:K57"/>
    <mergeCell ref="B64:K64"/>
    <mergeCell ref="B65:K65"/>
    <mergeCell ref="B66:K66"/>
    <mergeCell ref="B67:K67"/>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25"/>
  <sheetViews>
    <sheetView workbookViewId="0"/>
  </sheetViews>
  <sheetFormatPr defaultColWidth="9.140625" defaultRowHeight="15"/>
  <cols>
    <col min="1" max="1" width="25.5703125" style="30" bestFit="1" customWidth="1"/>
    <col min="2" max="2" width="26.85546875" style="30" bestFit="1" customWidth="1"/>
    <col min="3" max="3" width="39.5703125" style="30" bestFit="1" customWidth="1"/>
    <col min="4" max="4" width="25.5703125" style="30" bestFit="1" customWidth="1"/>
    <col min="5" max="5" width="19.140625" style="30" bestFit="1" customWidth="1"/>
    <col min="6" max="6" width="14.85546875" style="30" bestFit="1" customWidth="1"/>
    <col min="7" max="7" width="16.5703125" style="30" bestFit="1" customWidth="1"/>
    <col min="8" max="8" width="17.5703125" style="30" bestFit="1" customWidth="1"/>
    <col min="9" max="9" width="11" style="30" hidden="1" customWidth="1"/>
    <col min="10" max="10" width="26.85546875" style="30" hidden="1" customWidth="1"/>
    <col min="11" max="12" width="19.5703125" style="98" hidden="1" customWidth="1"/>
    <col min="13" max="13" width="19.5703125" style="30" hidden="1" customWidth="1"/>
    <col min="14" max="16384" width="9.140625" style="30"/>
  </cols>
  <sheetData>
    <row r="1" spans="1:12" ht="20.25" thickBot="1">
      <c r="A1" s="61" t="s">
        <v>0</v>
      </c>
    </row>
    <row r="2" spans="1:12" ht="15.75" thickBot="1">
      <c r="A2" s="60" t="s">
        <v>1</v>
      </c>
      <c r="B2" s="60" t="s">
        <v>2</v>
      </c>
      <c r="C2" s="60" t="s">
        <v>323</v>
      </c>
      <c r="D2" s="60" t="s">
        <v>71</v>
      </c>
      <c r="E2" s="60" t="s">
        <v>3</v>
      </c>
      <c r="F2" s="60" t="s">
        <v>4</v>
      </c>
      <c r="G2" s="60" t="s">
        <v>5</v>
      </c>
      <c r="H2" s="60" t="s">
        <v>6</v>
      </c>
      <c r="I2" s="2" t="s">
        <v>7</v>
      </c>
      <c r="J2" s="2" t="s">
        <v>124</v>
      </c>
      <c r="K2" s="2" t="s">
        <v>128</v>
      </c>
      <c r="L2" s="30"/>
    </row>
    <row r="3" spans="1:12" ht="15.75" thickBot="1">
      <c r="A3" s="17" t="s">
        <v>16</v>
      </c>
      <c r="B3" s="13" t="s">
        <v>17</v>
      </c>
      <c r="C3" s="19" t="s">
        <v>18</v>
      </c>
      <c r="D3" s="13">
        <v>79.900000000000006</v>
      </c>
      <c r="E3" s="19" t="s">
        <v>19</v>
      </c>
      <c r="F3" s="13" t="s">
        <v>15</v>
      </c>
      <c r="G3" s="19" t="s">
        <v>8</v>
      </c>
      <c r="H3" s="13" t="s">
        <v>9</v>
      </c>
      <c r="I3" s="19" t="s">
        <v>20</v>
      </c>
      <c r="J3" s="13" t="s">
        <v>119</v>
      </c>
      <c r="K3" s="19" t="s">
        <v>15</v>
      </c>
      <c r="L3" s="30"/>
    </row>
    <row r="4" spans="1:12" ht="15.75" thickBot="1">
      <c r="A4" s="16" t="s">
        <v>21</v>
      </c>
      <c r="B4" s="12" t="s">
        <v>22</v>
      </c>
      <c r="C4" s="19" t="s">
        <v>23</v>
      </c>
      <c r="D4" s="13">
        <v>120</v>
      </c>
      <c r="E4" s="18" t="s">
        <v>13</v>
      </c>
      <c r="F4" s="12" t="s">
        <v>14</v>
      </c>
      <c r="G4" s="18" t="s">
        <v>8</v>
      </c>
      <c r="H4" s="12" t="s">
        <v>9</v>
      </c>
      <c r="I4" s="18" t="s">
        <v>20</v>
      </c>
      <c r="J4" s="12" t="s">
        <v>119</v>
      </c>
      <c r="K4" s="18" t="s">
        <v>13</v>
      </c>
      <c r="L4" s="30"/>
    </row>
    <row r="5" spans="1:12" ht="34.5" thickBot="1">
      <c r="A5" s="16" t="s">
        <v>26</v>
      </c>
      <c r="B5" s="12" t="s">
        <v>17</v>
      </c>
      <c r="C5" s="19" t="s">
        <v>27</v>
      </c>
      <c r="D5" s="13">
        <v>170.1</v>
      </c>
      <c r="E5" s="18" t="s">
        <v>19</v>
      </c>
      <c r="F5" s="12" t="s">
        <v>15</v>
      </c>
      <c r="G5" s="18" t="s">
        <v>8</v>
      </c>
      <c r="H5" s="12" t="s">
        <v>9</v>
      </c>
      <c r="I5" s="18" t="s">
        <v>20</v>
      </c>
      <c r="J5" s="12" t="s">
        <v>119</v>
      </c>
      <c r="K5" s="18" t="s">
        <v>15</v>
      </c>
      <c r="L5" s="30"/>
    </row>
    <row r="6" spans="1:12" ht="15.75" thickBot="1">
      <c r="A6" s="16" t="s">
        <v>28</v>
      </c>
      <c r="B6" s="12" t="s">
        <v>17</v>
      </c>
      <c r="C6" s="19" t="s">
        <v>29</v>
      </c>
      <c r="D6" s="13">
        <v>85</v>
      </c>
      <c r="E6" s="18" t="s">
        <v>19</v>
      </c>
      <c r="F6" s="12" t="s">
        <v>15</v>
      </c>
      <c r="G6" s="18" t="s">
        <v>8</v>
      </c>
      <c r="H6" s="12" t="s">
        <v>9</v>
      </c>
      <c r="I6" s="18" t="s">
        <v>20</v>
      </c>
      <c r="J6" s="12" t="s">
        <v>119</v>
      </c>
      <c r="K6" s="18" t="s">
        <v>15</v>
      </c>
      <c r="L6" s="30"/>
    </row>
    <row r="7" spans="1:12" ht="15.75" thickBot="1">
      <c r="A7" s="16" t="s">
        <v>32</v>
      </c>
      <c r="B7" s="12" t="s">
        <v>17</v>
      </c>
      <c r="C7" s="19" t="s">
        <v>33</v>
      </c>
      <c r="D7" s="13">
        <v>60</v>
      </c>
      <c r="E7" s="18" t="s">
        <v>19</v>
      </c>
      <c r="F7" s="12" t="s">
        <v>15</v>
      </c>
      <c r="G7" s="18" t="s">
        <v>8</v>
      </c>
      <c r="H7" s="12" t="s">
        <v>9</v>
      </c>
      <c r="I7" s="18" t="s">
        <v>20</v>
      </c>
      <c r="J7" s="12" t="s">
        <v>119</v>
      </c>
      <c r="K7" s="18" t="s">
        <v>15</v>
      </c>
      <c r="L7" s="30"/>
    </row>
    <row r="8" spans="1:12" ht="15.75" thickBot="1">
      <c r="A8" s="16" t="s">
        <v>34</v>
      </c>
      <c r="B8" s="12" t="s">
        <v>17</v>
      </c>
      <c r="C8" s="19" t="s">
        <v>35</v>
      </c>
      <c r="D8" s="13">
        <v>43.2</v>
      </c>
      <c r="E8" s="18" t="s">
        <v>19</v>
      </c>
      <c r="F8" s="12" t="s">
        <v>15</v>
      </c>
      <c r="G8" s="18" t="s">
        <v>8</v>
      </c>
      <c r="H8" s="12" t="s">
        <v>9</v>
      </c>
      <c r="I8" s="18" t="s">
        <v>20</v>
      </c>
      <c r="J8" s="12" t="s">
        <v>119</v>
      </c>
      <c r="K8" s="18" t="s">
        <v>15</v>
      </c>
      <c r="L8" s="30"/>
    </row>
    <row r="9" spans="1:12" ht="15.75" thickBot="1">
      <c r="A9" s="16" t="s">
        <v>36</v>
      </c>
      <c r="B9" s="12" t="s">
        <v>17</v>
      </c>
      <c r="C9" s="19" t="s">
        <v>37</v>
      </c>
      <c r="D9" s="13">
        <v>432</v>
      </c>
      <c r="E9" s="18" t="s">
        <v>19</v>
      </c>
      <c r="F9" s="12" t="s">
        <v>15</v>
      </c>
      <c r="G9" s="18" t="s">
        <v>8</v>
      </c>
      <c r="H9" s="12" t="s">
        <v>9</v>
      </c>
      <c r="I9" s="18" t="s">
        <v>20</v>
      </c>
      <c r="J9" s="12" t="s">
        <v>119</v>
      </c>
      <c r="K9" s="18" t="s">
        <v>15</v>
      </c>
      <c r="L9" s="30"/>
    </row>
    <row r="10" spans="1:12" ht="15.75" thickBot="1">
      <c r="A10" s="16" t="s">
        <v>39</v>
      </c>
      <c r="B10" s="12" t="s">
        <v>17</v>
      </c>
      <c r="C10" s="19" t="s">
        <v>40</v>
      </c>
      <c r="D10" s="13">
        <v>144</v>
      </c>
      <c r="E10" s="18" t="s">
        <v>19</v>
      </c>
      <c r="F10" s="12" t="s">
        <v>15</v>
      </c>
      <c r="G10" s="18" t="s">
        <v>8</v>
      </c>
      <c r="H10" s="12" t="s">
        <v>9</v>
      </c>
      <c r="I10" s="18" t="s">
        <v>20</v>
      </c>
      <c r="J10" s="12" t="s">
        <v>119</v>
      </c>
      <c r="K10" s="18" t="s">
        <v>15</v>
      </c>
      <c r="L10" s="30"/>
    </row>
    <row r="11" spans="1:12" ht="15.75" thickBot="1">
      <c r="A11" s="16" t="s">
        <v>41</v>
      </c>
      <c r="B11" s="12" t="s">
        <v>17</v>
      </c>
      <c r="C11" s="19" t="s">
        <v>42</v>
      </c>
      <c r="D11" s="13">
        <v>32.4</v>
      </c>
      <c r="E11" s="18" t="s">
        <v>19</v>
      </c>
      <c r="F11" s="12" t="s">
        <v>15</v>
      </c>
      <c r="G11" s="18" t="s">
        <v>8</v>
      </c>
      <c r="H11" s="12" t="s">
        <v>9</v>
      </c>
      <c r="I11" s="18" t="s">
        <v>20</v>
      </c>
      <c r="J11" s="12" t="s">
        <v>119</v>
      </c>
      <c r="K11" s="18" t="s">
        <v>15</v>
      </c>
      <c r="L11" s="30"/>
    </row>
    <row r="12" spans="1:12" ht="23.25" thickBot="1">
      <c r="A12" s="16" t="s">
        <v>43</v>
      </c>
      <c r="B12" s="12" t="s">
        <v>17</v>
      </c>
      <c r="C12" s="19" t="s">
        <v>44</v>
      </c>
      <c r="D12" s="13">
        <v>81.599999999999994</v>
      </c>
      <c r="E12" s="18" t="s">
        <v>19</v>
      </c>
      <c r="F12" s="12" t="s">
        <v>15</v>
      </c>
      <c r="G12" s="18" t="s">
        <v>8</v>
      </c>
      <c r="H12" s="12" t="s">
        <v>9</v>
      </c>
      <c r="I12" s="18" t="s">
        <v>20</v>
      </c>
      <c r="J12" s="12" t="s">
        <v>119</v>
      </c>
      <c r="K12" s="18" t="s">
        <v>15</v>
      </c>
      <c r="L12" s="30"/>
    </row>
    <row r="13" spans="1:12" ht="15.75" thickBot="1">
      <c r="A13" s="16" t="s">
        <v>46</v>
      </c>
      <c r="B13" s="12" t="s">
        <v>17</v>
      </c>
      <c r="C13" s="19" t="s">
        <v>18</v>
      </c>
      <c r="D13" s="13">
        <v>79.900000000000006</v>
      </c>
      <c r="E13" s="18" t="s">
        <v>19</v>
      </c>
      <c r="F13" s="12" t="s">
        <v>15</v>
      </c>
      <c r="G13" s="18" t="s">
        <v>8</v>
      </c>
      <c r="H13" s="12" t="s">
        <v>9</v>
      </c>
      <c r="I13" s="18" t="s">
        <v>20</v>
      </c>
      <c r="J13" s="12" t="s">
        <v>119</v>
      </c>
      <c r="K13" s="18" t="s">
        <v>15</v>
      </c>
      <c r="L13" s="30"/>
    </row>
    <row r="14" spans="1:12" ht="15.75" thickBot="1">
      <c r="A14" s="16" t="s">
        <v>47</v>
      </c>
      <c r="B14" s="12" t="s">
        <v>17</v>
      </c>
      <c r="C14" s="19" t="s">
        <v>48</v>
      </c>
      <c r="D14" s="13">
        <v>40</v>
      </c>
      <c r="E14" s="18" t="s">
        <v>19</v>
      </c>
      <c r="F14" s="12" t="s">
        <v>15</v>
      </c>
      <c r="G14" s="18" t="s">
        <v>8</v>
      </c>
      <c r="H14" s="12" t="s">
        <v>9</v>
      </c>
      <c r="I14" s="18" t="s">
        <v>20</v>
      </c>
      <c r="J14" s="12" t="s">
        <v>119</v>
      </c>
      <c r="K14" s="18" t="s">
        <v>15</v>
      </c>
      <c r="L14" s="30"/>
    </row>
    <row r="15" spans="1:12" ht="15.75" thickBot="1">
      <c r="A15" s="16" t="s">
        <v>324</v>
      </c>
      <c r="B15" s="12" t="s">
        <v>49</v>
      </c>
      <c r="C15" s="19" t="s">
        <v>50</v>
      </c>
      <c r="D15" s="13">
        <v>168</v>
      </c>
      <c r="E15" s="18" t="s">
        <v>10</v>
      </c>
      <c r="F15" s="12" t="s">
        <v>11</v>
      </c>
      <c r="G15" s="18" t="s">
        <v>12</v>
      </c>
      <c r="H15" s="12" t="s">
        <v>9</v>
      </c>
      <c r="I15" s="18" t="s">
        <v>20</v>
      </c>
      <c r="J15" s="12" t="s">
        <v>119</v>
      </c>
      <c r="K15" s="18" t="s">
        <v>11</v>
      </c>
      <c r="L15" s="30"/>
    </row>
    <row r="16" spans="1:12" ht="15.75" thickBot="1">
      <c r="A16" s="16" t="s">
        <v>51</v>
      </c>
      <c r="B16" s="12" t="s">
        <v>17</v>
      </c>
      <c r="C16" s="19" t="s">
        <v>52</v>
      </c>
      <c r="D16" s="13">
        <v>300</v>
      </c>
      <c r="E16" s="18" t="s">
        <v>19</v>
      </c>
      <c r="F16" s="12" t="s">
        <v>15</v>
      </c>
      <c r="G16" s="18" t="s">
        <v>8</v>
      </c>
      <c r="H16" s="12" t="s">
        <v>9</v>
      </c>
      <c r="I16" s="18" t="s">
        <v>20</v>
      </c>
      <c r="J16" s="12" t="s">
        <v>119</v>
      </c>
      <c r="K16" s="18" t="s">
        <v>15</v>
      </c>
      <c r="L16" s="30"/>
    </row>
    <row r="17" spans="1:12" ht="15.75" thickBot="1">
      <c r="A17" s="16" t="s">
        <v>53</v>
      </c>
      <c r="B17" s="12" t="s">
        <v>17</v>
      </c>
      <c r="C17" s="19" t="s">
        <v>54</v>
      </c>
      <c r="D17" s="13">
        <v>231.2</v>
      </c>
      <c r="E17" s="18" t="s">
        <v>19</v>
      </c>
      <c r="F17" s="12" t="s">
        <v>15</v>
      </c>
      <c r="G17" s="18" t="s">
        <v>8</v>
      </c>
      <c r="H17" s="12" t="s">
        <v>9</v>
      </c>
      <c r="I17" s="18" t="s">
        <v>20</v>
      </c>
      <c r="J17" s="12" t="s">
        <v>119</v>
      </c>
      <c r="K17" s="18" t="s">
        <v>15</v>
      </c>
      <c r="L17" s="30"/>
    </row>
    <row r="18" spans="1:12" ht="23.25" thickBot="1">
      <c r="A18" s="16" t="s">
        <v>55</v>
      </c>
      <c r="B18" s="12" t="s">
        <v>22</v>
      </c>
      <c r="C18" s="19" t="s">
        <v>56</v>
      </c>
      <c r="D18" s="13">
        <v>208</v>
      </c>
      <c r="E18" s="18" t="s">
        <v>31</v>
      </c>
      <c r="F18" s="12" t="s">
        <v>14</v>
      </c>
      <c r="G18" s="18" t="s">
        <v>8</v>
      </c>
      <c r="H18" s="12" t="s">
        <v>45</v>
      </c>
      <c r="I18" s="18" t="s">
        <v>20</v>
      </c>
      <c r="J18" s="12" t="s">
        <v>45</v>
      </c>
      <c r="K18" s="18" t="s">
        <v>31</v>
      </c>
      <c r="L18" s="30"/>
    </row>
    <row r="19" spans="1:12" ht="15.75" thickBot="1">
      <c r="A19" s="16" t="s">
        <v>57</v>
      </c>
      <c r="B19" s="12" t="s">
        <v>22</v>
      </c>
      <c r="C19" s="19" t="s">
        <v>58</v>
      </c>
      <c r="D19" s="13">
        <v>58</v>
      </c>
      <c r="E19" s="18" t="s">
        <v>13</v>
      </c>
      <c r="F19" s="12" t="s">
        <v>14</v>
      </c>
      <c r="G19" s="18" t="s">
        <v>8</v>
      </c>
      <c r="H19" s="12" t="s">
        <v>9</v>
      </c>
      <c r="I19" s="18" t="s">
        <v>20</v>
      </c>
      <c r="J19" s="12" t="s">
        <v>119</v>
      </c>
      <c r="K19" s="18" t="s">
        <v>13</v>
      </c>
      <c r="L19" s="30"/>
    </row>
    <row r="20" spans="1:12" ht="15.75" thickBot="1">
      <c r="A20" s="16" t="s">
        <v>59</v>
      </c>
      <c r="B20" s="12" t="s">
        <v>17</v>
      </c>
      <c r="C20" s="19" t="s">
        <v>60</v>
      </c>
      <c r="D20" s="13">
        <v>90</v>
      </c>
      <c r="E20" s="18" t="s">
        <v>19</v>
      </c>
      <c r="F20" s="12" t="s">
        <v>15</v>
      </c>
      <c r="G20" s="18" t="s">
        <v>8</v>
      </c>
      <c r="H20" s="12" t="s">
        <v>9</v>
      </c>
      <c r="I20" s="18" t="s">
        <v>20</v>
      </c>
      <c r="J20" s="12" t="s">
        <v>119</v>
      </c>
      <c r="K20" s="18" t="s">
        <v>15</v>
      </c>
      <c r="L20" s="30"/>
    </row>
    <row r="21" spans="1:12" ht="23.25" thickBot="1">
      <c r="A21" s="16" t="s">
        <v>61</v>
      </c>
      <c r="B21" s="12" t="s">
        <v>17</v>
      </c>
      <c r="C21" s="19" t="s">
        <v>62</v>
      </c>
      <c r="D21" s="13">
        <v>93</v>
      </c>
      <c r="E21" s="18" t="s">
        <v>19</v>
      </c>
      <c r="F21" s="12" t="s">
        <v>15</v>
      </c>
      <c r="G21" s="18" t="s">
        <v>8</v>
      </c>
      <c r="H21" s="12" t="s">
        <v>9</v>
      </c>
      <c r="I21" s="18" t="s">
        <v>20</v>
      </c>
      <c r="J21" s="12" t="s">
        <v>119</v>
      </c>
      <c r="K21" s="18" t="s">
        <v>15</v>
      </c>
      <c r="L21" s="30"/>
    </row>
    <row r="22" spans="1:12" ht="15.75" thickBot="1">
      <c r="A22" s="16" t="s">
        <v>63</v>
      </c>
      <c r="B22" s="12" t="s">
        <v>17</v>
      </c>
      <c r="C22" s="19" t="s">
        <v>64</v>
      </c>
      <c r="D22" s="13">
        <v>82.8</v>
      </c>
      <c r="E22" s="18" t="s">
        <v>19</v>
      </c>
      <c r="F22" s="12" t="s">
        <v>15</v>
      </c>
      <c r="G22" s="18" t="s">
        <v>8</v>
      </c>
      <c r="H22" s="12" t="s">
        <v>9</v>
      </c>
      <c r="I22" s="18" t="s">
        <v>20</v>
      </c>
      <c r="J22" s="12" t="s">
        <v>119</v>
      </c>
      <c r="K22" s="18" t="s">
        <v>15</v>
      </c>
      <c r="L22" s="30"/>
    </row>
    <row r="23" spans="1:12" ht="15.75" thickBot="1">
      <c r="A23" s="16" t="s">
        <v>65</v>
      </c>
      <c r="B23" s="12" t="s">
        <v>17</v>
      </c>
      <c r="C23" s="19" t="s">
        <v>66</v>
      </c>
      <c r="D23" s="13">
        <v>125</v>
      </c>
      <c r="E23" s="18" t="s">
        <v>19</v>
      </c>
      <c r="F23" s="12" t="s">
        <v>15</v>
      </c>
      <c r="G23" s="18" t="s">
        <v>8</v>
      </c>
      <c r="H23" s="12" t="s">
        <v>9</v>
      </c>
      <c r="I23" s="18" t="s">
        <v>20</v>
      </c>
      <c r="J23" s="12" t="s">
        <v>119</v>
      </c>
      <c r="K23" s="18" t="s">
        <v>15</v>
      </c>
      <c r="L23" s="30"/>
    </row>
    <row r="24" spans="1:12" ht="15.75" thickBot="1"/>
    <row r="25" spans="1:12" ht="15.75" thickBot="1">
      <c r="A25" s="58" t="s">
        <v>67</v>
      </c>
      <c r="B25" s="121"/>
      <c r="C25" s="122"/>
      <c r="D25" s="59">
        <f>SUM(existingstable[Nameplate Capacity (MW)])</f>
        <v>2724.1000000000004</v>
      </c>
      <c r="E25" s="122"/>
      <c r="F25" s="121"/>
      <c r="G25" s="122"/>
      <c r="H25" s="121"/>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65"/>
  <sheetViews>
    <sheetView workbookViewId="0"/>
  </sheetViews>
  <sheetFormatPr defaultColWidth="9.140625" defaultRowHeight="15"/>
  <cols>
    <col min="1" max="1" width="25.7109375" style="30" bestFit="1" customWidth="1"/>
    <col min="2" max="11" width="10.7109375" style="30" bestFit="1" customWidth="1"/>
    <col min="12" max="12" width="16.140625" style="30" bestFit="1" customWidth="1"/>
    <col min="13" max="13" width="12.7109375" style="30" hidden="1" customWidth="1"/>
    <col min="14" max="14" width="11" style="30" hidden="1" customWidth="1"/>
    <col min="15" max="15" width="11.42578125" style="30" hidden="1" customWidth="1"/>
    <col min="16" max="16384" width="9.140625" style="30"/>
  </cols>
  <sheetData>
    <row r="1" spans="1:23" ht="20.25" thickBot="1">
      <c r="A1" s="61" t="s">
        <v>239</v>
      </c>
      <c r="M1" s="55"/>
      <c r="N1" s="55"/>
      <c r="O1" s="55"/>
      <c r="P1" s="55"/>
      <c r="Q1" s="55"/>
      <c r="R1" s="55"/>
      <c r="S1" s="55"/>
      <c r="T1" s="55"/>
      <c r="U1" s="55"/>
      <c r="V1" s="55"/>
      <c r="W1" s="55"/>
    </row>
    <row r="2" spans="1:23" ht="15.75" thickBot="1">
      <c r="A2" s="142" t="s">
        <v>1</v>
      </c>
      <c r="B2" s="142" t="s">
        <v>326</v>
      </c>
      <c r="C2" s="142" t="s">
        <v>327</v>
      </c>
      <c r="D2" s="142" t="s">
        <v>328</v>
      </c>
      <c r="E2" s="142" t="s">
        <v>329</v>
      </c>
      <c r="F2" s="142" t="s">
        <v>330</v>
      </c>
      <c r="G2" s="142" t="s">
        <v>331</v>
      </c>
      <c r="H2" s="142" t="s">
        <v>332</v>
      </c>
      <c r="I2" s="142" t="s">
        <v>333</v>
      </c>
      <c r="J2" s="142" t="s">
        <v>334</v>
      </c>
      <c r="K2" s="142" t="s">
        <v>335</v>
      </c>
      <c r="L2" s="142" t="s">
        <v>5</v>
      </c>
      <c r="M2" s="60" t="s">
        <v>241</v>
      </c>
      <c r="N2" s="60" t="s">
        <v>7</v>
      </c>
      <c r="O2" s="60" t="s">
        <v>242</v>
      </c>
    </row>
    <row r="3" spans="1:23" ht="15.75" thickBot="1">
      <c r="A3" s="17" t="s">
        <v>16</v>
      </c>
      <c r="B3" s="102">
        <v>81</v>
      </c>
      <c r="C3" s="103">
        <v>81</v>
      </c>
      <c r="D3" s="102">
        <v>81</v>
      </c>
      <c r="E3" s="103">
        <v>0</v>
      </c>
      <c r="F3" s="102">
        <v>81</v>
      </c>
      <c r="G3" s="103">
        <v>81</v>
      </c>
      <c r="H3" s="102">
        <v>81</v>
      </c>
      <c r="I3" s="103">
        <v>81</v>
      </c>
      <c r="J3" s="102">
        <v>81</v>
      </c>
      <c r="K3" s="103">
        <v>81</v>
      </c>
      <c r="L3" s="75" t="s">
        <v>8</v>
      </c>
      <c r="M3" s="21" t="s">
        <v>243</v>
      </c>
      <c r="N3" s="75" t="s">
        <v>20</v>
      </c>
      <c r="O3" s="21" t="s">
        <v>244</v>
      </c>
    </row>
    <row r="4" spans="1:23" ht="15.75" thickBot="1">
      <c r="A4" s="16" t="s">
        <v>21</v>
      </c>
      <c r="B4" s="104">
        <v>105</v>
      </c>
      <c r="C4" s="105">
        <v>105</v>
      </c>
      <c r="D4" s="104">
        <v>105</v>
      </c>
      <c r="E4" s="105">
        <v>105</v>
      </c>
      <c r="F4" s="104">
        <v>105</v>
      </c>
      <c r="G4" s="105">
        <v>105</v>
      </c>
      <c r="H4" s="104">
        <v>105</v>
      </c>
      <c r="I4" s="105">
        <v>105</v>
      </c>
      <c r="J4" s="104">
        <v>105</v>
      </c>
      <c r="K4" s="105">
        <v>105</v>
      </c>
      <c r="L4" s="74" t="s">
        <v>8</v>
      </c>
      <c r="M4" s="20" t="s">
        <v>245</v>
      </c>
      <c r="N4" s="74" t="s">
        <v>20</v>
      </c>
      <c r="O4" s="20" t="s">
        <v>244</v>
      </c>
    </row>
    <row r="5" spans="1:23" ht="15.75" thickBot="1">
      <c r="A5" s="16" t="s">
        <v>26</v>
      </c>
      <c r="B5" s="104">
        <v>107.8</v>
      </c>
      <c r="C5" s="105">
        <v>149.69999999999999</v>
      </c>
      <c r="D5" s="104">
        <v>173.7</v>
      </c>
      <c r="E5" s="105">
        <v>173.7</v>
      </c>
      <c r="F5" s="104">
        <v>173.7</v>
      </c>
      <c r="G5" s="105">
        <v>173.7</v>
      </c>
      <c r="H5" s="104">
        <v>173.7</v>
      </c>
      <c r="I5" s="105">
        <v>173.7</v>
      </c>
      <c r="J5" s="104">
        <v>173.7</v>
      </c>
      <c r="K5" s="105">
        <v>173.7</v>
      </c>
      <c r="L5" s="74" t="s">
        <v>8</v>
      </c>
      <c r="M5" s="20" t="s">
        <v>243</v>
      </c>
      <c r="N5" s="74" t="s">
        <v>20</v>
      </c>
      <c r="O5" s="20" t="s">
        <v>244</v>
      </c>
    </row>
    <row r="6" spans="1:23" ht="15.75" thickBot="1">
      <c r="A6" s="16" t="s">
        <v>28</v>
      </c>
      <c r="B6" s="104">
        <v>95</v>
      </c>
      <c r="C6" s="105">
        <v>95</v>
      </c>
      <c r="D6" s="104">
        <v>95</v>
      </c>
      <c r="E6" s="105">
        <v>0</v>
      </c>
      <c r="F6" s="104">
        <v>95</v>
      </c>
      <c r="G6" s="105">
        <v>95</v>
      </c>
      <c r="H6" s="104">
        <v>95</v>
      </c>
      <c r="I6" s="105">
        <v>95</v>
      </c>
      <c r="J6" s="104">
        <v>95</v>
      </c>
      <c r="K6" s="105">
        <v>95</v>
      </c>
      <c r="L6" s="74" t="s">
        <v>8</v>
      </c>
      <c r="M6" s="20" t="s">
        <v>243</v>
      </c>
      <c r="N6" s="74" t="s">
        <v>20</v>
      </c>
      <c r="O6" s="20" t="s">
        <v>244</v>
      </c>
    </row>
    <row r="7" spans="1:23" ht="15.75" thickBot="1">
      <c r="A7" s="16" t="s">
        <v>32</v>
      </c>
      <c r="B7" s="104">
        <v>63</v>
      </c>
      <c r="C7" s="105">
        <v>63</v>
      </c>
      <c r="D7" s="104">
        <v>63</v>
      </c>
      <c r="E7" s="105">
        <v>63</v>
      </c>
      <c r="F7" s="104">
        <v>63</v>
      </c>
      <c r="G7" s="105">
        <v>63</v>
      </c>
      <c r="H7" s="104">
        <v>63</v>
      </c>
      <c r="I7" s="105">
        <v>63</v>
      </c>
      <c r="J7" s="104">
        <v>63</v>
      </c>
      <c r="K7" s="105">
        <v>63</v>
      </c>
      <c r="L7" s="74" t="s">
        <v>8</v>
      </c>
      <c r="M7" s="20" t="s">
        <v>243</v>
      </c>
      <c r="N7" s="74" t="s">
        <v>20</v>
      </c>
      <c r="O7" s="20" t="s">
        <v>244</v>
      </c>
    </row>
    <row r="8" spans="1:23" ht="15.75" thickBot="1">
      <c r="A8" s="16" t="s">
        <v>34</v>
      </c>
      <c r="B8" s="104">
        <v>46</v>
      </c>
      <c r="C8" s="105">
        <v>46</v>
      </c>
      <c r="D8" s="104">
        <v>46</v>
      </c>
      <c r="E8" s="105">
        <v>46</v>
      </c>
      <c r="F8" s="104">
        <v>46</v>
      </c>
      <c r="G8" s="105">
        <v>46</v>
      </c>
      <c r="H8" s="104">
        <v>46</v>
      </c>
      <c r="I8" s="105">
        <v>46</v>
      </c>
      <c r="J8" s="104">
        <v>46</v>
      </c>
      <c r="K8" s="105">
        <v>46</v>
      </c>
      <c r="L8" s="74" t="s">
        <v>8</v>
      </c>
      <c r="M8" s="20" t="s">
        <v>243</v>
      </c>
      <c r="N8" s="74" t="s">
        <v>20</v>
      </c>
      <c r="O8" s="20" t="s">
        <v>244</v>
      </c>
    </row>
    <row r="9" spans="1:23" ht="15.75" thickBot="1">
      <c r="A9" s="16" t="s">
        <v>36</v>
      </c>
      <c r="B9" s="104">
        <v>370.79999999999995</v>
      </c>
      <c r="C9" s="105">
        <v>370.79999999999995</v>
      </c>
      <c r="D9" s="104">
        <v>370.79999999999995</v>
      </c>
      <c r="E9" s="105">
        <v>370.79999999999995</v>
      </c>
      <c r="F9" s="104">
        <v>370.79999999999995</v>
      </c>
      <c r="G9" s="105">
        <v>247.2</v>
      </c>
      <c r="H9" s="104">
        <v>370.79999999999995</v>
      </c>
      <c r="I9" s="105">
        <v>370.79999999999995</v>
      </c>
      <c r="J9" s="104">
        <v>370.79999999999995</v>
      </c>
      <c r="K9" s="105">
        <v>370.79999999999995</v>
      </c>
      <c r="L9" s="74" t="s">
        <v>8</v>
      </c>
      <c r="M9" s="20" t="s">
        <v>243</v>
      </c>
      <c r="N9" s="74" t="s">
        <v>20</v>
      </c>
      <c r="O9" s="20" t="s">
        <v>244</v>
      </c>
    </row>
    <row r="10" spans="1:23" ht="15.75" thickBot="1">
      <c r="A10" s="16" t="s">
        <v>98</v>
      </c>
      <c r="B10" s="104">
        <v>0</v>
      </c>
      <c r="C10" s="105">
        <v>111.6</v>
      </c>
      <c r="D10" s="104">
        <v>111.6</v>
      </c>
      <c r="E10" s="105">
        <v>111.6</v>
      </c>
      <c r="F10" s="104">
        <v>111.6</v>
      </c>
      <c r="G10" s="105">
        <v>111.6</v>
      </c>
      <c r="H10" s="104">
        <v>111.6</v>
      </c>
      <c r="I10" s="105">
        <v>111.6</v>
      </c>
      <c r="J10" s="104">
        <v>111.6</v>
      </c>
      <c r="K10" s="105">
        <v>111.6</v>
      </c>
      <c r="L10" s="74" t="s">
        <v>12</v>
      </c>
      <c r="M10" s="20" t="s">
        <v>11</v>
      </c>
      <c r="N10" s="74" t="s">
        <v>20</v>
      </c>
      <c r="O10" s="20" t="s">
        <v>244</v>
      </c>
    </row>
    <row r="11" spans="1:23" ht="15.75" thickBot="1">
      <c r="A11" s="16" t="s">
        <v>39</v>
      </c>
      <c r="B11" s="104">
        <v>140</v>
      </c>
      <c r="C11" s="105">
        <v>140</v>
      </c>
      <c r="D11" s="104">
        <v>140</v>
      </c>
      <c r="E11" s="105">
        <v>140</v>
      </c>
      <c r="F11" s="104">
        <v>140</v>
      </c>
      <c r="G11" s="105">
        <v>140</v>
      </c>
      <c r="H11" s="104">
        <v>0</v>
      </c>
      <c r="I11" s="105">
        <v>140</v>
      </c>
      <c r="J11" s="104">
        <v>140</v>
      </c>
      <c r="K11" s="105">
        <v>140</v>
      </c>
      <c r="L11" s="74" t="s">
        <v>8</v>
      </c>
      <c r="M11" s="20" t="s">
        <v>243</v>
      </c>
      <c r="N11" s="74" t="s">
        <v>20</v>
      </c>
      <c r="O11" s="20" t="s">
        <v>244</v>
      </c>
    </row>
    <row r="12" spans="1:23" ht="15.75" thickBot="1">
      <c r="A12" s="16" t="s">
        <v>41</v>
      </c>
      <c r="B12" s="104">
        <v>30</v>
      </c>
      <c r="C12" s="105">
        <v>30</v>
      </c>
      <c r="D12" s="104">
        <v>30</v>
      </c>
      <c r="E12" s="105">
        <v>30</v>
      </c>
      <c r="F12" s="104">
        <v>30</v>
      </c>
      <c r="G12" s="105">
        <v>30</v>
      </c>
      <c r="H12" s="104">
        <v>30</v>
      </c>
      <c r="I12" s="105">
        <v>30</v>
      </c>
      <c r="J12" s="104">
        <v>30</v>
      </c>
      <c r="K12" s="105">
        <v>30</v>
      </c>
      <c r="L12" s="74" t="s">
        <v>8</v>
      </c>
      <c r="M12" s="20" t="s">
        <v>243</v>
      </c>
      <c r="N12" s="74" t="s">
        <v>20</v>
      </c>
      <c r="O12" s="20" t="s">
        <v>244</v>
      </c>
    </row>
    <row r="13" spans="1:23" ht="15.75" thickBot="1">
      <c r="A13" s="16" t="s">
        <v>43</v>
      </c>
      <c r="B13" s="104">
        <v>86</v>
      </c>
      <c r="C13" s="105">
        <v>32</v>
      </c>
      <c r="D13" s="104">
        <v>54</v>
      </c>
      <c r="E13" s="105">
        <v>86</v>
      </c>
      <c r="F13" s="104">
        <v>86</v>
      </c>
      <c r="G13" s="105">
        <v>86</v>
      </c>
      <c r="H13" s="104">
        <v>86</v>
      </c>
      <c r="I13" s="105">
        <v>86</v>
      </c>
      <c r="J13" s="104">
        <v>86</v>
      </c>
      <c r="K13" s="105">
        <v>86</v>
      </c>
      <c r="L13" s="74" t="s">
        <v>8</v>
      </c>
      <c r="M13" s="20" t="s">
        <v>243</v>
      </c>
      <c r="N13" s="74" t="s">
        <v>20</v>
      </c>
      <c r="O13" s="20" t="s">
        <v>244</v>
      </c>
    </row>
    <row r="14" spans="1:23" ht="15.75" thickBot="1">
      <c r="A14" s="16" t="s">
        <v>46</v>
      </c>
      <c r="B14" s="104">
        <v>81</v>
      </c>
      <c r="C14" s="105">
        <v>81</v>
      </c>
      <c r="D14" s="104">
        <v>81</v>
      </c>
      <c r="E14" s="105">
        <v>81</v>
      </c>
      <c r="F14" s="104">
        <v>0</v>
      </c>
      <c r="G14" s="105">
        <v>81</v>
      </c>
      <c r="H14" s="104">
        <v>81</v>
      </c>
      <c r="I14" s="105">
        <v>81</v>
      </c>
      <c r="J14" s="104">
        <v>81</v>
      </c>
      <c r="K14" s="105">
        <v>81</v>
      </c>
      <c r="L14" s="74" t="s">
        <v>8</v>
      </c>
      <c r="M14" s="20" t="s">
        <v>243</v>
      </c>
      <c r="N14" s="74" t="s">
        <v>20</v>
      </c>
      <c r="O14" s="20" t="s">
        <v>244</v>
      </c>
    </row>
    <row r="15" spans="1:23" ht="15.75" thickBot="1">
      <c r="A15" s="16" t="s">
        <v>47</v>
      </c>
      <c r="B15" s="104">
        <v>43.8</v>
      </c>
      <c r="C15" s="105">
        <v>43.8</v>
      </c>
      <c r="D15" s="104">
        <v>43.8</v>
      </c>
      <c r="E15" s="105">
        <v>43.8</v>
      </c>
      <c r="F15" s="104">
        <v>43.8</v>
      </c>
      <c r="G15" s="105">
        <v>43.8</v>
      </c>
      <c r="H15" s="104">
        <v>43.8</v>
      </c>
      <c r="I15" s="105">
        <v>43.8</v>
      </c>
      <c r="J15" s="104">
        <v>43.8</v>
      </c>
      <c r="K15" s="105">
        <v>43.8</v>
      </c>
      <c r="L15" s="74" t="s">
        <v>8</v>
      </c>
      <c r="M15" s="20" t="s">
        <v>243</v>
      </c>
      <c r="N15" s="74" t="s">
        <v>20</v>
      </c>
      <c r="O15" s="20" t="s">
        <v>244</v>
      </c>
    </row>
    <row r="16" spans="1:23" ht="15.75" thickBot="1">
      <c r="A16" s="16" t="s">
        <v>324</v>
      </c>
      <c r="B16" s="104">
        <v>168</v>
      </c>
      <c r="C16" s="105">
        <v>168</v>
      </c>
      <c r="D16" s="104">
        <v>168</v>
      </c>
      <c r="E16" s="105">
        <v>168</v>
      </c>
      <c r="F16" s="104">
        <v>168</v>
      </c>
      <c r="G16" s="105">
        <v>168</v>
      </c>
      <c r="H16" s="104">
        <v>168</v>
      </c>
      <c r="I16" s="105">
        <v>168</v>
      </c>
      <c r="J16" s="104">
        <v>168</v>
      </c>
      <c r="K16" s="105">
        <v>168</v>
      </c>
      <c r="L16" s="74" t="s">
        <v>12</v>
      </c>
      <c r="M16" s="20" t="s">
        <v>11</v>
      </c>
      <c r="N16" s="74" t="s">
        <v>20</v>
      </c>
      <c r="O16" s="20" t="s">
        <v>244</v>
      </c>
    </row>
    <row r="17" spans="1:23" ht="15.75" thickBot="1">
      <c r="A17" s="16" t="s">
        <v>51</v>
      </c>
      <c r="B17" s="104">
        <v>342</v>
      </c>
      <c r="C17" s="105">
        <v>342</v>
      </c>
      <c r="D17" s="104">
        <v>285</v>
      </c>
      <c r="E17" s="105">
        <v>285</v>
      </c>
      <c r="F17" s="104">
        <v>285</v>
      </c>
      <c r="G17" s="105">
        <v>285</v>
      </c>
      <c r="H17" s="104">
        <v>285</v>
      </c>
      <c r="I17" s="105">
        <v>342</v>
      </c>
      <c r="J17" s="104">
        <v>342</v>
      </c>
      <c r="K17" s="105">
        <v>342</v>
      </c>
      <c r="L17" s="74" t="s">
        <v>8</v>
      </c>
      <c r="M17" s="20" t="s">
        <v>243</v>
      </c>
      <c r="N17" s="74" t="s">
        <v>20</v>
      </c>
      <c r="O17" s="20" t="s">
        <v>244</v>
      </c>
    </row>
    <row r="18" spans="1:23" ht="15.75" thickBot="1">
      <c r="A18" s="16" t="s">
        <v>53</v>
      </c>
      <c r="B18" s="104">
        <v>232</v>
      </c>
      <c r="C18" s="105">
        <v>232</v>
      </c>
      <c r="D18" s="104">
        <v>232</v>
      </c>
      <c r="E18" s="105">
        <v>232</v>
      </c>
      <c r="F18" s="104">
        <v>232</v>
      </c>
      <c r="G18" s="105">
        <v>116</v>
      </c>
      <c r="H18" s="104">
        <v>232</v>
      </c>
      <c r="I18" s="105">
        <v>116</v>
      </c>
      <c r="J18" s="104">
        <v>232</v>
      </c>
      <c r="K18" s="105">
        <v>232</v>
      </c>
      <c r="L18" s="74" t="s">
        <v>8</v>
      </c>
      <c r="M18" s="20" t="s">
        <v>243</v>
      </c>
      <c r="N18" s="74" t="s">
        <v>20</v>
      </c>
      <c r="O18" s="20" t="s">
        <v>244</v>
      </c>
    </row>
    <row r="19" spans="1:23" ht="15.75" thickBot="1">
      <c r="A19" s="16" t="s">
        <v>55</v>
      </c>
      <c r="B19" s="104">
        <v>0</v>
      </c>
      <c r="C19" s="105">
        <v>0</v>
      </c>
      <c r="D19" s="104">
        <v>0</v>
      </c>
      <c r="E19" s="105">
        <v>0</v>
      </c>
      <c r="F19" s="104">
        <v>0</v>
      </c>
      <c r="G19" s="105">
        <v>0</v>
      </c>
      <c r="H19" s="104">
        <v>0</v>
      </c>
      <c r="I19" s="105">
        <v>0</v>
      </c>
      <c r="J19" s="104">
        <v>0</v>
      </c>
      <c r="K19" s="105">
        <v>0</v>
      </c>
      <c r="L19" s="74" t="s">
        <v>8</v>
      </c>
      <c r="M19" s="20" t="s">
        <v>245</v>
      </c>
      <c r="N19" s="74" t="s">
        <v>20</v>
      </c>
      <c r="O19" s="20" t="s">
        <v>244</v>
      </c>
    </row>
    <row r="20" spans="1:23" ht="15.75" thickBot="1">
      <c r="A20" s="16" t="s">
        <v>57</v>
      </c>
      <c r="B20" s="104">
        <v>58</v>
      </c>
      <c r="C20" s="105">
        <v>58</v>
      </c>
      <c r="D20" s="104">
        <v>58</v>
      </c>
      <c r="E20" s="105">
        <v>58</v>
      </c>
      <c r="F20" s="104">
        <v>58</v>
      </c>
      <c r="G20" s="105">
        <v>58</v>
      </c>
      <c r="H20" s="104">
        <v>58</v>
      </c>
      <c r="I20" s="105">
        <v>58</v>
      </c>
      <c r="J20" s="104">
        <v>58</v>
      </c>
      <c r="K20" s="105">
        <v>58</v>
      </c>
      <c r="L20" s="74" t="s">
        <v>8</v>
      </c>
      <c r="M20" s="20" t="s">
        <v>245</v>
      </c>
      <c r="N20" s="74" t="s">
        <v>20</v>
      </c>
      <c r="O20" s="20" t="s">
        <v>244</v>
      </c>
    </row>
    <row r="21" spans="1:23" ht="15.75" thickBot="1">
      <c r="A21" s="16" t="s">
        <v>59</v>
      </c>
      <c r="B21" s="104">
        <v>90</v>
      </c>
      <c r="C21" s="105">
        <v>90</v>
      </c>
      <c r="D21" s="104">
        <v>90</v>
      </c>
      <c r="E21" s="105">
        <v>90</v>
      </c>
      <c r="F21" s="104">
        <v>75</v>
      </c>
      <c r="G21" s="105">
        <v>75</v>
      </c>
      <c r="H21" s="104">
        <v>75</v>
      </c>
      <c r="I21" s="105">
        <v>75</v>
      </c>
      <c r="J21" s="104">
        <v>90</v>
      </c>
      <c r="K21" s="105">
        <v>90</v>
      </c>
      <c r="L21" s="74" t="s">
        <v>8</v>
      </c>
      <c r="M21" s="20" t="s">
        <v>243</v>
      </c>
      <c r="N21" s="74" t="s">
        <v>20</v>
      </c>
      <c r="O21" s="20" t="s">
        <v>244</v>
      </c>
    </row>
    <row r="22" spans="1:23" ht="15.75" thickBot="1">
      <c r="A22" s="16" t="s">
        <v>61</v>
      </c>
      <c r="B22" s="104">
        <v>102.8</v>
      </c>
      <c r="C22" s="105">
        <v>81.900000000000006</v>
      </c>
      <c r="D22" s="104">
        <v>0</v>
      </c>
      <c r="E22" s="105">
        <v>102.8</v>
      </c>
      <c r="F22" s="104">
        <v>102.8</v>
      </c>
      <c r="G22" s="105">
        <v>102.8</v>
      </c>
      <c r="H22" s="104">
        <v>102.8</v>
      </c>
      <c r="I22" s="105">
        <v>102.8</v>
      </c>
      <c r="J22" s="104">
        <v>102.8</v>
      </c>
      <c r="K22" s="105">
        <v>102.8</v>
      </c>
      <c r="L22" s="74" t="s">
        <v>8</v>
      </c>
      <c r="M22" s="20" t="s">
        <v>243</v>
      </c>
      <c r="N22" s="74" t="s">
        <v>20</v>
      </c>
      <c r="O22" s="20" t="s">
        <v>244</v>
      </c>
    </row>
    <row r="23" spans="1:23" ht="15.75" thickBot="1">
      <c r="A23" s="16" t="s">
        <v>63</v>
      </c>
      <c r="B23" s="104">
        <v>88</v>
      </c>
      <c r="C23" s="105">
        <v>88</v>
      </c>
      <c r="D23" s="104">
        <v>88</v>
      </c>
      <c r="E23" s="105">
        <v>88</v>
      </c>
      <c r="F23" s="104">
        <v>88</v>
      </c>
      <c r="G23" s="105">
        <v>88</v>
      </c>
      <c r="H23" s="104">
        <v>88</v>
      </c>
      <c r="I23" s="105">
        <v>0</v>
      </c>
      <c r="J23" s="104">
        <v>88</v>
      </c>
      <c r="K23" s="105">
        <v>88</v>
      </c>
      <c r="L23" s="74" t="s">
        <v>8</v>
      </c>
      <c r="M23" s="20" t="s">
        <v>243</v>
      </c>
      <c r="N23" s="74" t="s">
        <v>20</v>
      </c>
      <c r="O23" s="20" t="s">
        <v>244</v>
      </c>
    </row>
    <row r="24" spans="1:23" ht="15.75" thickBot="1">
      <c r="A24" s="16" t="s">
        <v>65</v>
      </c>
      <c r="B24" s="104">
        <v>130.5</v>
      </c>
      <c r="C24" s="105">
        <v>104.4</v>
      </c>
      <c r="D24" s="104">
        <v>130.5</v>
      </c>
      <c r="E24" s="105">
        <v>104.4</v>
      </c>
      <c r="F24" s="104">
        <v>130.5</v>
      </c>
      <c r="G24" s="105">
        <v>130.5</v>
      </c>
      <c r="H24" s="104">
        <v>130.5</v>
      </c>
      <c r="I24" s="105">
        <v>130.5</v>
      </c>
      <c r="J24" s="104">
        <v>130.5</v>
      </c>
      <c r="K24" s="105">
        <v>130.5</v>
      </c>
      <c r="L24" s="74" t="s">
        <v>8</v>
      </c>
      <c r="M24" s="20" t="s">
        <v>243</v>
      </c>
      <c r="N24" s="74" t="s">
        <v>20</v>
      </c>
      <c r="O24" s="20" t="s">
        <v>244</v>
      </c>
    </row>
    <row r="25" spans="1:23">
      <c r="A25" s="52" t="s">
        <v>108</v>
      </c>
      <c r="B25" s="106">
        <v>0</v>
      </c>
      <c r="C25" s="107">
        <v>144</v>
      </c>
      <c r="D25" s="106">
        <v>144</v>
      </c>
      <c r="E25" s="107">
        <v>144</v>
      </c>
      <c r="F25" s="106">
        <v>144</v>
      </c>
      <c r="G25" s="107">
        <v>144</v>
      </c>
      <c r="H25" s="106">
        <v>144</v>
      </c>
      <c r="I25" s="107">
        <v>144</v>
      </c>
      <c r="J25" s="106">
        <v>144</v>
      </c>
      <c r="K25" s="107">
        <v>144</v>
      </c>
      <c r="L25" s="76" t="s">
        <v>12</v>
      </c>
      <c r="M25" s="54" t="s">
        <v>11</v>
      </c>
      <c r="N25" s="76" t="s">
        <v>20</v>
      </c>
      <c r="O25" s="54" t="s">
        <v>244</v>
      </c>
    </row>
    <row r="26" spans="1:23" ht="15.75" thickBot="1">
      <c r="B26" s="108"/>
      <c r="C26" s="108"/>
      <c r="D26" s="108"/>
      <c r="E26" s="108"/>
      <c r="F26" s="108"/>
      <c r="G26" s="108"/>
      <c r="H26" s="108"/>
      <c r="I26" s="108"/>
      <c r="J26" s="108"/>
      <c r="K26" s="108"/>
      <c r="P26" s="55"/>
      <c r="Q26" s="55"/>
      <c r="R26" s="55"/>
      <c r="S26" s="55"/>
      <c r="T26" s="55"/>
      <c r="U26" s="55"/>
      <c r="V26" s="55"/>
      <c r="W26" s="55"/>
    </row>
    <row r="27" spans="1:23" ht="15.75" thickBot="1">
      <c r="A27" s="58" t="s">
        <v>67</v>
      </c>
      <c r="B27" s="109">
        <f>SUM(sumcapsalltable[2018-19])</f>
        <v>2460.6999999999998</v>
      </c>
      <c r="C27" s="109">
        <f>SUM(sumcapsalltable[2019-20])</f>
        <v>2657.2</v>
      </c>
      <c r="D27" s="109">
        <f>SUM(sumcapsalltable[2020-21])</f>
        <v>2590.3999999999996</v>
      </c>
      <c r="E27" s="109">
        <f>SUM(sumcapsalltable[2021-22])</f>
        <v>2523.1</v>
      </c>
      <c r="F27" s="109">
        <f>SUM(sumcapsalltable[2022-23])</f>
        <v>2629.2</v>
      </c>
      <c r="G27" s="109">
        <f>SUM(sumcapsalltable[2023-24])</f>
        <v>2470.6</v>
      </c>
      <c r="H27" s="109">
        <f>SUM(sumcapsalltable[2024-25])</f>
        <v>2570.1999999999998</v>
      </c>
      <c r="I27" s="109">
        <f>SUM(sumcapsalltable[2025-26])</f>
        <v>2563.1999999999998</v>
      </c>
      <c r="J27" s="109">
        <f>SUM(sumcapsalltable[2026-27])</f>
        <v>2782.2</v>
      </c>
      <c r="K27" s="109">
        <f>SUM(sumcapsalltable[2027-28])</f>
        <v>2782.2</v>
      </c>
      <c r="L27" s="59"/>
      <c r="M27" s="55"/>
      <c r="N27" s="55"/>
      <c r="O27" s="55"/>
      <c r="P27" s="55"/>
      <c r="Q27" s="55"/>
      <c r="R27" s="55"/>
      <c r="S27" s="55"/>
      <c r="T27" s="55"/>
      <c r="U27" s="55"/>
      <c r="V27" s="55"/>
      <c r="W27" s="55"/>
    </row>
    <row r="28" spans="1:23" ht="30" customHeight="1">
      <c r="B28" s="62"/>
      <c r="C28" s="62"/>
      <c r="D28" s="62"/>
      <c r="E28" s="62"/>
      <c r="F28" s="62"/>
      <c r="G28" s="62"/>
      <c r="H28" s="62"/>
      <c r="I28" s="62"/>
      <c r="J28" s="62"/>
      <c r="K28" s="62"/>
      <c r="M28" s="55"/>
      <c r="N28" s="55"/>
      <c r="O28" s="55"/>
      <c r="P28" s="55"/>
      <c r="Q28" s="55"/>
      <c r="R28" s="55"/>
      <c r="S28" s="55"/>
      <c r="T28" s="55"/>
      <c r="U28" s="55"/>
      <c r="V28" s="55"/>
      <c r="W28" s="55"/>
    </row>
    <row r="29" spans="1:23" s="101" customFormat="1" ht="29.25" customHeight="1">
      <c r="A29" s="163" t="s">
        <v>246</v>
      </c>
      <c r="B29" s="164"/>
      <c r="C29" s="164"/>
      <c r="D29" s="164"/>
      <c r="E29" s="164"/>
      <c r="F29" s="164"/>
      <c r="G29" s="164"/>
      <c r="H29" s="164"/>
      <c r="I29" s="164"/>
      <c r="J29" s="164"/>
      <c r="K29" s="164"/>
      <c r="L29" s="164"/>
      <c r="M29" s="100"/>
      <c r="N29" s="100"/>
      <c r="O29" s="100"/>
      <c r="P29" s="100"/>
      <c r="Q29" s="100"/>
      <c r="R29" s="100"/>
      <c r="S29" s="100"/>
      <c r="T29" s="100"/>
      <c r="U29" s="100"/>
      <c r="V29" s="100"/>
      <c r="W29" s="100"/>
    </row>
    <row r="30" spans="1:23" s="101" customFormat="1" ht="45" customHeight="1">
      <c r="A30" s="163" t="s">
        <v>247</v>
      </c>
      <c r="B30" s="164"/>
      <c r="C30" s="164"/>
      <c r="D30" s="164"/>
      <c r="E30" s="164"/>
      <c r="F30" s="164"/>
      <c r="G30" s="164"/>
      <c r="H30" s="164"/>
      <c r="I30" s="164"/>
      <c r="J30" s="164"/>
      <c r="K30" s="164"/>
      <c r="L30" s="164"/>
      <c r="M30" s="100"/>
      <c r="N30" s="100"/>
      <c r="O30" s="100"/>
      <c r="P30" s="165"/>
      <c r="Q30" s="165"/>
      <c r="R30" s="165"/>
      <c r="S30" s="165"/>
      <c r="T30" s="165"/>
      <c r="U30" s="165"/>
      <c r="V30" s="165"/>
      <c r="W30" s="165"/>
    </row>
    <row r="31" spans="1:23" s="101" customFormat="1" ht="56.25" customHeight="1">
      <c r="A31" s="163" t="s">
        <v>248</v>
      </c>
      <c r="B31" s="164"/>
      <c r="C31" s="164"/>
      <c r="D31" s="164"/>
      <c r="E31" s="164"/>
      <c r="F31" s="164"/>
      <c r="G31" s="164"/>
      <c r="H31" s="164"/>
      <c r="I31" s="164"/>
      <c r="J31" s="164"/>
      <c r="K31" s="164"/>
      <c r="L31" s="164"/>
      <c r="M31" s="100"/>
      <c r="N31" s="100"/>
      <c r="O31" s="100"/>
      <c r="P31" s="165"/>
      <c r="Q31" s="165"/>
      <c r="R31" s="165"/>
      <c r="S31" s="165"/>
      <c r="T31" s="165"/>
      <c r="U31" s="165"/>
      <c r="V31" s="165"/>
      <c r="W31" s="165"/>
    </row>
    <row r="32" spans="1:23" ht="15.75" thickBot="1">
      <c r="M32" s="55"/>
      <c r="N32" s="55"/>
      <c r="O32" s="55"/>
      <c r="P32" s="55"/>
      <c r="Q32" s="55"/>
      <c r="R32" s="55"/>
      <c r="S32" s="55"/>
      <c r="T32" s="55"/>
      <c r="U32" s="55"/>
      <c r="V32" s="55"/>
      <c r="W32" s="55"/>
    </row>
    <row r="33" spans="1:15" ht="20.25" thickBot="1">
      <c r="A33" s="61" t="s">
        <v>249</v>
      </c>
      <c r="M33" s="55"/>
      <c r="N33" s="55"/>
      <c r="O33" s="55"/>
    </row>
    <row r="34" spans="1:15" ht="15.75" thickBot="1">
      <c r="A34" s="142" t="s">
        <v>1</v>
      </c>
      <c r="B34" s="142" t="s">
        <v>326</v>
      </c>
      <c r="C34" s="142" t="s">
        <v>327</v>
      </c>
      <c r="D34" s="142" t="s">
        <v>328</v>
      </c>
      <c r="E34" s="142" t="s">
        <v>329</v>
      </c>
      <c r="F34" s="142" t="s">
        <v>330</v>
      </c>
      <c r="G34" s="142" t="s">
        <v>331</v>
      </c>
      <c r="H34" s="142" t="s">
        <v>332</v>
      </c>
      <c r="I34" s="142" t="s">
        <v>333</v>
      </c>
      <c r="J34" s="142" t="s">
        <v>334</v>
      </c>
      <c r="K34" s="142" t="s">
        <v>335</v>
      </c>
      <c r="L34" s="142" t="s">
        <v>5</v>
      </c>
      <c r="M34" s="60" t="s">
        <v>241</v>
      </c>
      <c r="N34" s="60" t="s">
        <v>7</v>
      </c>
      <c r="O34" s="60" t="s">
        <v>242</v>
      </c>
    </row>
    <row r="35" spans="1:15" ht="15.75" thickBot="1">
      <c r="A35" s="3" t="s">
        <v>16</v>
      </c>
      <c r="B35" s="110">
        <v>81</v>
      </c>
      <c r="C35" s="111">
        <v>81</v>
      </c>
      <c r="D35" s="110">
        <v>81</v>
      </c>
      <c r="E35" s="111">
        <v>0</v>
      </c>
      <c r="F35" s="110">
        <v>81</v>
      </c>
      <c r="G35" s="111">
        <v>81</v>
      </c>
      <c r="H35" s="110">
        <v>81</v>
      </c>
      <c r="I35" s="111">
        <v>81</v>
      </c>
      <c r="J35" s="110">
        <v>81</v>
      </c>
      <c r="K35" s="111">
        <v>81</v>
      </c>
      <c r="L35" s="56" t="s">
        <v>8</v>
      </c>
      <c r="M35" s="57" t="s">
        <v>243</v>
      </c>
      <c r="N35" s="56" t="s">
        <v>20</v>
      </c>
      <c r="O35" s="57" t="s">
        <v>244</v>
      </c>
    </row>
    <row r="36" spans="1:15" ht="15.75" thickBot="1">
      <c r="A36" s="3" t="s">
        <v>21</v>
      </c>
      <c r="B36" s="110">
        <v>105</v>
      </c>
      <c r="C36" s="111">
        <v>105</v>
      </c>
      <c r="D36" s="110">
        <v>105</v>
      </c>
      <c r="E36" s="111">
        <v>105</v>
      </c>
      <c r="F36" s="110">
        <v>105</v>
      </c>
      <c r="G36" s="111">
        <v>105</v>
      </c>
      <c r="H36" s="110">
        <v>105</v>
      </c>
      <c r="I36" s="111">
        <v>105</v>
      </c>
      <c r="J36" s="110">
        <v>105</v>
      </c>
      <c r="K36" s="111">
        <v>105</v>
      </c>
      <c r="L36" s="56" t="s">
        <v>8</v>
      </c>
      <c r="M36" s="57" t="s">
        <v>245</v>
      </c>
      <c r="N36" s="56" t="s">
        <v>20</v>
      </c>
      <c r="O36" s="57" t="s">
        <v>244</v>
      </c>
    </row>
    <row r="37" spans="1:15" ht="15.75" thickBot="1">
      <c r="A37" s="3" t="s">
        <v>26</v>
      </c>
      <c r="B37" s="110">
        <v>107.8</v>
      </c>
      <c r="C37" s="111">
        <v>149.69999999999999</v>
      </c>
      <c r="D37" s="110">
        <v>173.7</v>
      </c>
      <c r="E37" s="111">
        <v>173.7</v>
      </c>
      <c r="F37" s="110">
        <v>173.7</v>
      </c>
      <c r="G37" s="111">
        <v>173.7</v>
      </c>
      <c r="H37" s="110">
        <v>173.7</v>
      </c>
      <c r="I37" s="111">
        <v>173.7</v>
      </c>
      <c r="J37" s="110">
        <v>173.7</v>
      </c>
      <c r="K37" s="111">
        <v>173.7</v>
      </c>
      <c r="L37" s="56" t="s">
        <v>8</v>
      </c>
      <c r="M37" s="57" t="s">
        <v>243</v>
      </c>
      <c r="N37" s="56" t="s">
        <v>20</v>
      </c>
      <c r="O37" s="57" t="s">
        <v>244</v>
      </c>
    </row>
    <row r="38" spans="1:15" ht="15.75" thickBot="1">
      <c r="A38" s="3" t="s">
        <v>28</v>
      </c>
      <c r="B38" s="110">
        <v>95</v>
      </c>
      <c r="C38" s="111">
        <v>95</v>
      </c>
      <c r="D38" s="110">
        <v>95</v>
      </c>
      <c r="E38" s="111">
        <v>0</v>
      </c>
      <c r="F38" s="110">
        <v>95</v>
      </c>
      <c r="G38" s="111">
        <v>95</v>
      </c>
      <c r="H38" s="110">
        <v>95</v>
      </c>
      <c r="I38" s="111">
        <v>95</v>
      </c>
      <c r="J38" s="110">
        <v>95</v>
      </c>
      <c r="K38" s="111">
        <v>95</v>
      </c>
      <c r="L38" s="56" t="s">
        <v>8</v>
      </c>
      <c r="M38" s="57" t="s">
        <v>243</v>
      </c>
      <c r="N38" s="56" t="s">
        <v>20</v>
      </c>
      <c r="O38" s="57" t="s">
        <v>244</v>
      </c>
    </row>
    <row r="39" spans="1:15" ht="15.75" thickBot="1">
      <c r="A39" s="3" t="s">
        <v>32</v>
      </c>
      <c r="B39" s="110">
        <v>63</v>
      </c>
      <c r="C39" s="111">
        <v>63</v>
      </c>
      <c r="D39" s="110">
        <v>63</v>
      </c>
      <c r="E39" s="111">
        <v>63</v>
      </c>
      <c r="F39" s="110">
        <v>63</v>
      </c>
      <c r="G39" s="111">
        <v>63</v>
      </c>
      <c r="H39" s="110">
        <v>63</v>
      </c>
      <c r="I39" s="111">
        <v>63</v>
      </c>
      <c r="J39" s="110">
        <v>63</v>
      </c>
      <c r="K39" s="111">
        <v>63</v>
      </c>
      <c r="L39" s="56" t="s">
        <v>8</v>
      </c>
      <c r="M39" s="57" t="s">
        <v>243</v>
      </c>
      <c r="N39" s="56" t="s">
        <v>20</v>
      </c>
      <c r="O39" s="57" t="s">
        <v>244</v>
      </c>
    </row>
    <row r="40" spans="1:15" ht="15.75" thickBot="1">
      <c r="A40" s="3" t="s">
        <v>34</v>
      </c>
      <c r="B40" s="110">
        <v>46</v>
      </c>
      <c r="C40" s="111">
        <v>46</v>
      </c>
      <c r="D40" s="110">
        <v>46</v>
      </c>
      <c r="E40" s="111">
        <v>46</v>
      </c>
      <c r="F40" s="110">
        <v>46</v>
      </c>
      <c r="G40" s="111">
        <v>46</v>
      </c>
      <c r="H40" s="110">
        <v>46</v>
      </c>
      <c r="I40" s="111">
        <v>46</v>
      </c>
      <c r="J40" s="110">
        <v>46</v>
      </c>
      <c r="K40" s="111">
        <v>46</v>
      </c>
      <c r="L40" s="56" t="s">
        <v>8</v>
      </c>
      <c r="M40" s="57" t="s">
        <v>243</v>
      </c>
      <c r="N40" s="56" t="s">
        <v>20</v>
      </c>
      <c r="O40" s="57" t="s">
        <v>244</v>
      </c>
    </row>
    <row r="41" spans="1:15" ht="15.75" thickBot="1">
      <c r="A41" s="3" t="s">
        <v>36</v>
      </c>
      <c r="B41" s="110">
        <v>370.79999999999995</v>
      </c>
      <c r="C41" s="111">
        <v>370.79999999999995</v>
      </c>
      <c r="D41" s="110">
        <v>370.79999999999995</v>
      </c>
      <c r="E41" s="111">
        <v>370.79999999999995</v>
      </c>
      <c r="F41" s="110">
        <v>370.79999999999995</v>
      </c>
      <c r="G41" s="111">
        <v>247.2</v>
      </c>
      <c r="H41" s="110">
        <v>370.79999999999995</v>
      </c>
      <c r="I41" s="111">
        <v>370.79999999999995</v>
      </c>
      <c r="J41" s="110">
        <v>370.79999999999995</v>
      </c>
      <c r="K41" s="111">
        <v>370.79999999999995</v>
      </c>
      <c r="L41" s="56" t="s">
        <v>8</v>
      </c>
      <c r="M41" s="57" t="s">
        <v>243</v>
      </c>
      <c r="N41" s="56" t="s">
        <v>20</v>
      </c>
      <c r="O41" s="57" t="s">
        <v>244</v>
      </c>
    </row>
    <row r="42" spans="1:15" ht="15.75" thickBot="1">
      <c r="A42" s="3" t="s">
        <v>39</v>
      </c>
      <c r="B42" s="110">
        <v>140</v>
      </c>
      <c r="C42" s="111">
        <v>140</v>
      </c>
      <c r="D42" s="110">
        <v>140</v>
      </c>
      <c r="E42" s="111">
        <v>140</v>
      </c>
      <c r="F42" s="110">
        <v>140</v>
      </c>
      <c r="G42" s="111">
        <v>140</v>
      </c>
      <c r="H42" s="110">
        <v>0</v>
      </c>
      <c r="I42" s="111">
        <v>140</v>
      </c>
      <c r="J42" s="110">
        <v>140</v>
      </c>
      <c r="K42" s="111">
        <v>140</v>
      </c>
      <c r="L42" s="56" t="s">
        <v>8</v>
      </c>
      <c r="M42" s="57" t="s">
        <v>243</v>
      </c>
      <c r="N42" s="56" t="s">
        <v>20</v>
      </c>
      <c r="O42" s="57" t="s">
        <v>244</v>
      </c>
    </row>
    <row r="43" spans="1:15" ht="15.75" thickBot="1">
      <c r="A43" s="3" t="s">
        <v>41</v>
      </c>
      <c r="B43" s="110">
        <v>30</v>
      </c>
      <c r="C43" s="111">
        <v>30</v>
      </c>
      <c r="D43" s="110">
        <v>30</v>
      </c>
      <c r="E43" s="111">
        <v>30</v>
      </c>
      <c r="F43" s="110">
        <v>30</v>
      </c>
      <c r="G43" s="111">
        <v>30</v>
      </c>
      <c r="H43" s="110">
        <v>30</v>
      </c>
      <c r="I43" s="111">
        <v>30</v>
      </c>
      <c r="J43" s="110">
        <v>30</v>
      </c>
      <c r="K43" s="111">
        <v>30</v>
      </c>
      <c r="L43" s="56" t="s">
        <v>8</v>
      </c>
      <c r="M43" s="57" t="s">
        <v>243</v>
      </c>
      <c r="N43" s="56" t="s">
        <v>20</v>
      </c>
      <c r="O43" s="57" t="s">
        <v>244</v>
      </c>
    </row>
    <row r="44" spans="1:15" ht="15.75" thickBot="1">
      <c r="A44" s="3" t="s">
        <v>43</v>
      </c>
      <c r="B44" s="110">
        <v>86</v>
      </c>
      <c r="C44" s="111">
        <v>32</v>
      </c>
      <c r="D44" s="110">
        <v>54</v>
      </c>
      <c r="E44" s="111">
        <v>86</v>
      </c>
      <c r="F44" s="110">
        <v>86</v>
      </c>
      <c r="G44" s="111">
        <v>86</v>
      </c>
      <c r="H44" s="110">
        <v>86</v>
      </c>
      <c r="I44" s="111">
        <v>86</v>
      </c>
      <c r="J44" s="110">
        <v>86</v>
      </c>
      <c r="K44" s="111">
        <v>86</v>
      </c>
      <c r="L44" s="56" t="s">
        <v>8</v>
      </c>
      <c r="M44" s="57" t="s">
        <v>243</v>
      </c>
      <c r="N44" s="56" t="s">
        <v>20</v>
      </c>
      <c r="O44" s="57" t="s">
        <v>244</v>
      </c>
    </row>
    <row r="45" spans="1:15" ht="15.75" thickBot="1">
      <c r="A45" s="3" t="s">
        <v>46</v>
      </c>
      <c r="B45" s="110">
        <v>81</v>
      </c>
      <c r="C45" s="111">
        <v>81</v>
      </c>
      <c r="D45" s="110">
        <v>81</v>
      </c>
      <c r="E45" s="111">
        <v>81</v>
      </c>
      <c r="F45" s="110">
        <v>0</v>
      </c>
      <c r="G45" s="111">
        <v>81</v>
      </c>
      <c r="H45" s="110">
        <v>81</v>
      </c>
      <c r="I45" s="111">
        <v>81</v>
      </c>
      <c r="J45" s="110">
        <v>81</v>
      </c>
      <c r="K45" s="111">
        <v>81</v>
      </c>
      <c r="L45" s="56" t="s">
        <v>8</v>
      </c>
      <c r="M45" s="57" t="s">
        <v>243</v>
      </c>
      <c r="N45" s="56" t="s">
        <v>20</v>
      </c>
      <c r="O45" s="57" t="s">
        <v>244</v>
      </c>
    </row>
    <row r="46" spans="1:15" ht="15.75" thickBot="1">
      <c r="A46" s="3" t="s">
        <v>47</v>
      </c>
      <c r="B46" s="110">
        <v>43.8</v>
      </c>
      <c r="C46" s="111">
        <v>43.8</v>
      </c>
      <c r="D46" s="110">
        <v>43.8</v>
      </c>
      <c r="E46" s="111">
        <v>43.8</v>
      </c>
      <c r="F46" s="110">
        <v>43.8</v>
      </c>
      <c r="G46" s="111">
        <v>43.8</v>
      </c>
      <c r="H46" s="110">
        <v>43.8</v>
      </c>
      <c r="I46" s="111">
        <v>43.8</v>
      </c>
      <c r="J46" s="110">
        <v>43.8</v>
      </c>
      <c r="K46" s="111">
        <v>43.8</v>
      </c>
      <c r="L46" s="56" t="s">
        <v>8</v>
      </c>
      <c r="M46" s="57" t="s">
        <v>243</v>
      </c>
      <c r="N46" s="56" t="s">
        <v>20</v>
      </c>
      <c r="O46" s="57" t="s">
        <v>244</v>
      </c>
    </row>
    <row r="47" spans="1:15" ht="15.75" thickBot="1">
      <c r="A47" s="3" t="s">
        <v>51</v>
      </c>
      <c r="B47" s="110">
        <v>342</v>
      </c>
      <c r="C47" s="111">
        <v>342</v>
      </c>
      <c r="D47" s="110">
        <v>285</v>
      </c>
      <c r="E47" s="111">
        <v>285</v>
      </c>
      <c r="F47" s="110">
        <v>285</v>
      </c>
      <c r="G47" s="111">
        <v>285</v>
      </c>
      <c r="H47" s="110">
        <v>285</v>
      </c>
      <c r="I47" s="111">
        <v>342</v>
      </c>
      <c r="J47" s="110">
        <v>342</v>
      </c>
      <c r="K47" s="111">
        <v>342</v>
      </c>
      <c r="L47" s="56" t="s">
        <v>8</v>
      </c>
      <c r="M47" s="57" t="s">
        <v>243</v>
      </c>
      <c r="N47" s="56" t="s">
        <v>20</v>
      </c>
      <c r="O47" s="57" t="s">
        <v>244</v>
      </c>
    </row>
    <row r="48" spans="1:15" ht="15.75" thickBot="1">
      <c r="A48" s="3" t="s">
        <v>53</v>
      </c>
      <c r="B48" s="110">
        <v>232</v>
      </c>
      <c r="C48" s="111">
        <v>232</v>
      </c>
      <c r="D48" s="110">
        <v>232</v>
      </c>
      <c r="E48" s="111">
        <v>232</v>
      </c>
      <c r="F48" s="110">
        <v>232</v>
      </c>
      <c r="G48" s="111">
        <v>116</v>
      </c>
      <c r="H48" s="110">
        <v>232</v>
      </c>
      <c r="I48" s="111">
        <v>116</v>
      </c>
      <c r="J48" s="110">
        <v>232</v>
      </c>
      <c r="K48" s="111">
        <v>232</v>
      </c>
      <c r="L48" s="56" t="s">
        <v>8</v>
      </c>
      <c r="M48" s="57" t="s">
        <v>243</v>
      </c>
      <c r="N48" s="56" t="s">
        <v>20</v>
      </c>
      <c r="O48" s="57" t="s">
        <v>244</v>
      </c>
    </row>
    <row r="49" spans="1:23" ht="15.75" thickBot="1">
      <c r="A49" s="3" t="s">
        <v>55</v>
      </c>
      <c r="B49" s="110">
        <v>0</v>
      </c>
      <c r="C49" s="111">
        <v>0</v>
      </c>
      <c r="D49" s="110">
        <v>0</v>
      </c>
      <c r="E49" s="111">
        <v>0</v>
      </c>
      <c r="F49" s="110">
        <v>0</v>
      </c>
      <c r="G49" s="111">
        <v>0</v>
      </c>
      <c r="H49" s="110">
        <v>0</v>
      </c>
      <c r="I49" s="111">
        <v>0</v>
      </c>
      <c r="J49" s="110">
        <v>0</v>
      </c>
      <c r="K49" s="111">
        <v>0</v>
      </c>
      <c r="L49" s="56" t="s">
        <v>8</v>
      </c>
      <c r="M49" s="57" t="s">
        <v>245</v>
      </c>
      <c r="N49" s="56" t="s">
        <v>20</v>
      </c>
      <c r="O49" s="57" t="s">
        <v>244</v>
      </c>
    </row>
    <row r="50" spans="1:23" ht="15.75" thickBot="1">
      <c r="A50" s="3" t="s">
        <v>57</v>
      </c>
      <c r="B50" s="110">
        <v>58</v>
      </c>
      <c r="C50" s="111">
        <v>58</v>
      </c>
      <c r="D50" s="110">
        <v>58</v>
      </c>
      <c r="E50" s="111">
        <v>58</v>
      </c>
      <c r="F50" s="110">
        <v>58</v>
      </c>
      <c r="G50" s="111">
        <v>58</v>
      </c>
      <c r="H50" s="110">
        <v>58</v>
      </c>
      <c r="I50" s="111">
        <v>58</v>
      </c>
      <c r="J50" s="110">
        <v>58</v>
      </c>
      <c r="K50" s="111">
        <v>58</v>
      </c>
      <c r="L50" s="56" t="s">
        <v>8</v>
      </c>
      <c r="M50" s="57" t="s">
        <v>245</v>
      </c>
      <c r="N50" s="56" t="s">
        <v>20</v>
      </c>
      <c r="O50" s="57" t="s">
        <v>244</v>
      </c>
    </row>
    <row r="51" spans="1:23" ht="15.75" thickBot="1">
      <c r="A51" s="3" t="s">
        <v>59</v>
      </c>
      <c r="B51" s="110">
        <v>90</v>
      </c>
      <c r="C51" s="111">
        <v>90</v>
      </c>
      <c r="D51" s="110">
        <v>90</v>
      </c>
      <c r="E51" s="111">
        <v>90</v>
      </c>
      <c r="F51" s="110">
        <v>75</v>
      </c>
      <c r="G51" s="111">
        <v>75</v>
      </c>
      <c r="H51" s="110">
        <v>75</v>
      </c>
      <c r="I51" s="111">
        <v>75</v>
      </c>
      <c r="J51" s="110">
        <v>90</v>
      </c>
      <c r="K51" s="111">
        <v>90</v>
      </c>
      <c r="L51" s="56" t="s">
        <v>8</v>
      </c>
      <c r="M51" s="57" t="s">
        <v>243</v>
      </c>
      <c r="N51" s="56" t="s">
        <v>20</v>
      </c>
      <c r="O51" s="57" t="s">
        <v>244</v>
      </c>
    </row>
    <row r="52" spans="1:23" ht="15.75" thickBot="1">
      <c r="A52" s="3" t="s">
        <v>61</v>
      </c>
      <c r="B52" s="110">
        <v>102.8</v>
      </c>
      <c r="C52" s="111">
        <v>81.900000000000006</v>
      </c>
      <c r="D52" s="110">
        <v>0</v>
      </c>
      <c r="E52" s="111">
        <v>102.8</v>
      </c>
      <c r="F52" s="110">
        <v>102.8</v>
      </c>
      <c r="G52" s="111">
        <v>102.8</v>
      </c>
      <c r="H52" s="110">
        <v>102.8</v>
      </c>
      <c r="I52" s="111">
        <v>102.8</v>
      </c>
      <c r="J52" s="110">
        <v>102.8</v>
      </c>
      <c r="K52" s="111">
        <v>102.8</v>
      </c>
      <c r="L52" s="56" t="s">
        <v>8</v>
      </c>
      <c r="M52" s="57" t="s">
        <v>243</v>
      </c>
      <c r="N52" s="56" t="s">
        <v>20</v>
      </c>
      <c r="O52" s="57" t="s">
        <v>244</v>
      </c>
    </row>
    <row r="53" spans="1:23" ht="15.75" thickBot="1">
      <c r="A53" s="3" t="s">
        <v>63</v>
      </c>
      <c r="B53" s="110">
        <v>88</v>
      </c>
      <c r="C53" s="111">
        <v>88</v>
      </c>
      <c r="D53" s="110">
        <v>88</v>
      </c>
      <c r="E53" s="111">
        <v>88</v>
      </c>
      <c r="F53" s="110">
        <v>88</v>
      </c>
      <c r="G53" s="111">
        <v>88</v>
      </c>
      <c r="H53" s="110">
        <v>88</v>
      </c>
      <c r="I53" s="111">
        <v>0</v>
      </c>
      <c r="J53" s="110">
        <v>88</v>
      </c>
      <c r="K53" s="111">
        <v>88</v>
      </c>
      <c r="L53" s="56" t="s">
        <v>8</v>
      </c>
      <c r="M53" s="57" t="s">
        <v>243</v>
      </c>
      <c r="N53" s="56" t="s">
        <v>20</v>
      </c>
      <c r="O53" s="57" t="s">
        <v>244</v>
      </c>
    </row>
    <row r="54" spans="1:23" ht="15.75" thickBot="1">
      <c r="A54" s="3" t="s">
        <v>65</v>
      </c>
      <c r="B54" s="110">
        <v>130.5</v>
      </c>
      <c r="C54" s="111">
        <v>104.4</v>
      </c>
      <c r="D54" s="110">
        <v>130.5</v>
      </c>
      <c r="E54" s="111">
        <v>104.4</v>
      </c>
      <c r="F54" s="110">
        <v>130.5</v>
      </c>
      <c r="G54" s="111">
        <v>130.5</v>
      </c>
      <c r="H54" s="110">
        <v>130.5</v>
      </c>
      <c r="I54" s="111">
        <v>130.5</v>
      </c>
      <c r="J54" s="110">
        <v>130.5</v>
      </c>
      <c r="K54" s="111">
        <v>130.5</v>
      </c>
      <c r="L54" s="56" t="s">
        <v>8</v>
      </c>
      <c r="M54" s="57" t="s">
        <v>243</v>
      </c>
      <c r="N54" s="56" t="s">
        <v>20</v>
      </c>
      <c r="O54" s="57" t="s">
        <v>244</v>
      </c>
    </row>
    <row r="55" spans="1:23" ht="15.75" thickBot="1">
      <c r="B55" s="108"/>
      <c r="C55" s="108"/>
      <c r="D55" s="108"/>
      <c r="E55" s="108"/>
      <c r="F55" s="108"/>
      <c r="G55" s="108"/>
      <c r="H55" s="108"/>
      <c r="I55" s="108"/>
      <c r="J55" s="108"/>
      <c r="K55" s="108"/>
      <c r="P55" s="55"/>
      <c r="Q55" s="55"/>
      <c r="R55" s="55"/>
      <c r="S55" s="55"/>
      <c r="T55" s="55"/>
      <c r="U55" s="55"/>
      <c r="V55" s="55"/>
      <c r="W55" s="55"/>
    </row>
    <row r="56" spans="1:23" ht="15.75" thickBot="1">
      <c r="A56" s="3" t="s">
        <v>250</v>
      </c>
      <c r="B56" s="109">
        <f>SUMIF(sumcapsSStable[[FuelType]:[FuelType]],"Wind",sumcapsSStable[2018-19])*0.105</f>
        <v>17.64</v>
      </c>
      <c r="C56" s="109">
        <f>SUMIF(sumcapsSStable[[FuelType]:[FuelType]],"Wind",sumcapsSStable[2019-20])*0.105</f>
        <v>44.478000000000002</v>
      </c>
      <c r="D56" s="109">
        <f>SUMIF(sumcapsSStable[[FuelType]:[FuelType]],"Wind",sumcapsSStable[2020-21])*0.105</f>
        <v>44.478000000000002</v>
      </c>
      <c r="E56" s="109">
        <f>SUMIF(sumcapsSStable[[FuelType]:[FuelType]],"Wind",sumcapsSStable[2021-22])*0.105</f>
        <v>44.478000000000002</v>
      </c>
      <c r="F56" s="109">
        <f>SUMIF(sumcapsSStable[[FuelType]:[FuelType]],"Wind",sumcapsSStable[2022-23])*0.105</f>
        <v>44.478000000000002</v>
      </c>
      <c r="G56" s="109">
        <f>SUMIF(sumcapsSStable[[FuelType]:[FuelType]],"Wind",sumcapsSStable[2023-24])*0.105</f>
        <v>44.478000000000002</v>
      </c>
      <c r="H56" s="109">
        <f>SUMIF(sumcapsSStable[[FuelType]:[FuelType]],"Wind",sumcapsSStable[2024-25])*0.105</f>
        <v>44.478000000000002</v>
      </c>
      <c r="I56" s="109">
        <f>SUMIF(sumcapsSStable[[FuelType]:[FuelType]],"Wind",sumcapsSStable[2025-26])*0.105</f>
        <v>44.478000000000002</v>
      </c>
      <c r="J56" s="109">
        <f>SUMIF(sumcapsSStable[[FuelType]:[FuelType]],"Wind",sumcapsSStable[2026-27])*0.105</f>
        <v>44.478000000000002</v>
      </c>
      <c r="K56" s="109">
        <f>SUMIF(sumcapsSStable[[FuelType]:[FuelType]],"Wind",sumcapsSStable[2027-28])*0.105</f>
        <v>44.478000000000002</v>
      </c>
      <c r="L56" s="56" t="s">
        <v>12</v>
      </c>
      <c r="M56" s="55"/>
      <c r="N56" s="55"/>
      <c r="O56" s="55"/>
      <c r="P56" s="55"/>
      <c r="Q56" s="55"/>
      <c r="R56" s="55"/>
      <c r="S56" s="55"/>
      <c r="T56" s="55"/>
      <c r="U56" s="55"/>
      <c r="V56" s="55"/>
      <c r="W56" s="55"/>
    </row>
    <row r="57" spans="1:23" ht="15.75" thickBot="1">
      <c r="A57" s="58" t="s">
        <v>67</v>
      </c>
      <c r="B57" s="109">
        <f>SUM(sumcapsStable[2018-19])+B56</f>
        <v>2310.3399999999997</v>
      </c>
      <c r="C57" s="109">
        <f>SUM(sumcapsStable[2019-20])+C56</f>
        <v>2278.078</v>
      </c>
      <c r="D57" s="109">
        <f>SUM(sumcapsStable[2020-21])+D56</f>
        <v>2211.2780000000002</v>
      </c>
      <c r="E57" s="109">
        <f>SUM(sumcapsStable[2021-22])+E56</f>
        <v>2143.9780000000001</v>
      </c>
      <c r="F57" s="109">
        <f>SUM(sumcapsStable[2022-23])+F56</f>
        <v>2250.078</v>
      </c>
      <c r="G57" s="109">
        <f>SUM(sumcapsStable[2023-24])+G56</f>
        <v>2091.4780000000001</v>
      </c>
      <c r="H57" s="109">
        <f>SUM(sumcapsStable[2024-25])+H56</f>
        <v>2191.078</v>
      </c>
      <c r="I57" s="109">
        <f>SUM(sumcapsStable[2025-26])+I56</f>
        <v>2184.078</v>
      </c>
      <c r="J57" s="109">
        <f>SUM(sumcapsStable[2026-27])+J56</f>
        <v>2403.078</v>
      </c>
      <c r="K57" s="109">
        <f>SUM(sumcapsStable[2027-28])+K56</f>
        <v>2403.078</v>
      </c>
      <c r="L57" s="59"/>
      <c r="M57" s="55"/>
      <c r="N57" s="55"/>
      <c r="O57" s="55"/>
      <c r="P57" s="55"/>
      <c r="Q57" s="55"/>
      <c r="R57" s="55"/>
      <c r="S57" s="55"/>
      <c r="T57" s="55"/>
      <c r="U57" s="55"/>
      <c r="V57" s="55"/>
      <c r="W57" s="55"/>
    </row>
    <row r="58" spans="1:23" ht="15.75" thickBot="1">
      <c r="B58" s="62"/>
      <c r="C58" s="62"/>
      <c r="D58" s="62"/>
      <c r="E58" s="62"/>
      <c r="F58" s="62"/>
      <c r="G58" s="62"/>
      <c r="H58" s="62"/>
      <c r="I58" s="62"/>
      <c r="J58" s="62"/>
      <c r="K58" s="62"/>
      <c r="M58" s="55"/>
      <c r="N58" s="55"/>
      <c r="O58" s="55"/>
      <c r="P58" s="55"/>
      <c r="Q58" s="55"/>
      <c r="R58" s="55"/>
      <c r="S58" s="55"/>
      <c r="T58" s="55"/>
      <c r="U58" s="55"/>
      <c r="V58" s="55"/>
      <c r="W58" s="55"/>
    </row>
    <row r="59" spans="1:23" s="63" customFormat="1" ht="20.25" thickBot="1">
      <c r="A59" s="61" t="s">
        <v>251</v>
      </c>
      <c r="B59" s="30"/>
      <c r="C59" s="30"/>
      <c r="D59" s="30"/>
      <c r="E59" s="30"/>
      <c r="F59" s="30"/>
      <c r="G59" s="30"/>
      <c r="H59" s="30"/>
      <c r="I59" s="30"/>
      <c r="J59" s="30"/>
      <c r="K59" s="30"/>
      <c r="L59" s="30"/>
      <c r="M59" s="55"/>
      <c r="N59" s="55"/>
      <c r="O59" s="55"/>
    </row>
    <row r="60" spans="1:23" ht="15.75" thickBot="1">
      <c r="A60" s="142" t="s">
        <v>1</v>
      </c>
      <c r="B60" s="142" t="s">
        <v>326</v>
      </c>
      <c r="C60" s="142" t="s">
        <v>327</v>
      </c>
      <c r="D60" s="142" t="s">
        <v>328</v>
      </c>
      <c r="E60" s="142" t="s">
        <v>329</v>
      </c>
      <c r="F60" s="142" t="s">
        <v>330</v>
      </c>
      <c r="G60" s="142" t="s">
        <v>331</v>
      </c>
      <c r="H60" s="142" t="s">
        <v>332</v>
      </c>
      <c r="I60" s="142" t="s">
        <v>333</v>
      </c>
      <c r="J60" s="142" t="s">
        <v>334</v>
      </c>
      <c r="K60" s="142" t="s">
        <v>335</v>
      </c>
      <c r="L60" s="142" t="s">
        <v>5</v>
      </c>
      <c r="M60" s="60" t="s">
        <v>241</v>
      </c>
      <c r="N60" s="60" t="s">
        <v>7</v>
      </c>
      <c r="O60" s="60" t="s">
        <v>242</v>
      </c>
    </row>
    <row r="61" spans="1:23" ht="15.75" thickBot="1">
      <c r="A61" s="17" t="s">
        <v>98</v>
      </c>
      <c r="B61" s="102">
        <v>0</v>
      </c>
      <c r="C61" s="103">
        <v>111.6</v>
      </c>
      <c r="D61" s="102">
        <v>111.6</v>
      </c>
      <c r="E61" s="103">
        <v>111.6</v>
      </c>
      <c r="F61" s="102">
        <v>111.6</v>
      </c>
      <c r="G61" s="103">
        <v>111.6</v>
      </c>
      <c r="H61" s="102">
        <v>111.6</v>
      </c>
      <c r="I61" s="103">
        <v>111.6</v>
      </c>
      <c r="J61" s="102">
        <v>111.6</v>
      </c>
      <c r="K61" s="103">
        <v>111.6</v>
      </c>
      <c r="L61" s="75" t="s">
        <v>12</v>
      </c>
      <c r="M61" s="21" t="s">
        <v>11</v>
      </c>
      <c r="N61" s="75" t="s">
        <v>20</v>
      </c>
      <c r="O61" s="21" t="s">
        <v>244</v>
      </c>
    </row>
    <row r="62" spans="1:23" ht="15.75" thickBot="1">
      <c r="A62" s="16" t="s">
        <v>324</v>
      </c>
      <c r="B62" s="104">
        <v>168</v>
      </c>
      <c r="C62" s="105">
        <v>168</v>
      </c>
      <c r="D62" s="104">
        <v>168</v>
      </c>
      <c r="E62" s="105">
        <v>168</v>
      </c>
      <c r="F62" s="104">
        <v>168</v>
      </c>
      <c r="G62" s="105">
        <v>168</v>
      </c>
      <c r="H62" s="104">
        <v>168</v>
      </c>
      <c r="I62" s="105">
        <v>168</v>
      </c>
      <c r="J62" s="104">
        <v>168</v>
      </c>
      <c r="K62" s="105">
        <v>168</v>
      </c>
      <c r="L62" s="74" t="s">
        <v>12</v>
      </c>
      <c r="M62" s="20" t="s">
        <v>11</v>
      </c>
      <c r="N62" s="74" t="s">
        <v>20</v>
      </c>
      <c r="O62" s="20" t="s">
        <v>244</v>
      </c>
    </row>
    <row r="63" spans="1:23">
      <c r="A63" s="52" t="s">
        <v>108</v>
      </c>
      <c r="B63" s="106">
        <v>0</v>
      </c>
      <c r="C63" s="107">
        <v>144</v>
      </c>
      <c r="D63" s="106">
        <v>144</v>
      </c>
      <c r="E63" s="107">
        <v>144</v>
      </c>
      <c r="F63" s="106">
        <v>144</v>
      </c>
      <c r="G63" s="107">
        <v>144</v>
      </c>
      <c r="H63" s="106">
        <v>144</v>
      </c>
      <c r="I63" s="107">
        <v>144</v>
      </c>
      <c r="J63" s="106">
        <v>144</v>
      </c>
      <c r="K63" s="107">
        <v>144</v>
      </c>
      <c r="L63" s="76" t="s">
        <v>12</v>
      </c>
      <c r="M63" s="54" t="s">
        <v>11</v>
      </c>
      <c r="N63" s="76" t="s">
        <v>20</v>
      </c>
      <c r="O63" s="54" t="s">
        <v>244</v>
      </c>
      <c r="P63" s="55"/>
      <c r="Q63" s="55"/>
      <c r="R63" s="55"/>
      <c r="S63" s="55"/>
      <c r="T63" s="55"/>
      <c r="U63" s="55"/>
      <c r="V63" s="55"/>
      <c r="W63" s="55"/>
    </row>
    <row r="64" spans="1:23" ht="15.75" thickBot="1">
      <c r="B64" s="108"/>
      <c r="C64" s="108"/>
      <c r="D64" s="108"/>
      <c r="E64" s="108"/>
      <c r="F64" s="108"/>
      <c r="G64" s="108"/>
      <c r="H64" s="108"/>
      <c r="I64" s="108"/>
      <c r="J64" s="108"/>
      <c r="K64" s="108"/>
    </row>
    <row r="65" spans="1:15" ht="15.75" thickBot="1">
      <c r="A65" s="58" t="s">
        <v>252</v>
      </c>
      <c r="B65" s="109">
        <f>SUMIF(sumcapsSStable[[FuelType]:[FuelType]],"Wind",sumcapsSStable[2018-19])</f>
        <v>168</v>
      </c>
      <c r="C65" s="109">
        <f>SUMIF(sumcapsSStable[[FuelType]:[FuelType]],"Wind",sumcapsSStable[2019-20])</f>
        <v>423.6</v>
      </c>
      <c r="D65" s="109">
        <f>SUMIF(sumcapsSStable[[FuelType]:[FuelType]],"Wind",sumcapsSStable[2020-21])</f>
        <v>423.6</v>
      </c>
      <c r="E65" s="109">
        <f>SUMIF(sumcapsSStable[[FuelType]:[FuelType]],"Wind",sumcapsSStable[2021-22])</f>
        <v>423.6</v>
      </c>
      <c r="F65" s="109">
        <f>SUMIF(sumcapsSStable[[FuelType]:[FuelType]],"Wind",sumcapsSStable[2022-23])</f>
        <v>423.6</v>
      </c>
      <c r="G65" s="109">
        <f>SUMIF(sumcapsSStable[[FuelType]:[FuelType]],"Wind",sumcapsSStable[2023-24])</f>
        <v>423.6</v>
      </c>
      <c r="H65" s="109">
        <f>SUMIF(sumcapsSStable[[FuelType]:[FuelType]],"Wind",sumcapsSStable[2024-25])</f>
        <v>423.6</v>
      </c>
      <c r="I65" s="109">
        <f>SUMIF(sumcapsSStable[[FuelType]:[FuelType]],"Wind",sumcapsSStable[2025-26])</f>
        <v>423.6</v>
      </c>
      <c r="J65" s="109">
        <f>SUMIF(sumcapsSStable[[FuelType]:[FuelType]],"Wind",sumcapsSStable[2026-27])</f>
        <v>423.6</v>
      </c>
      <c r="K65" s="109">
        <f>SUMIF(sumcapsSStable[[FuelType]:[FuelType]],"Wind",sumcapsSStable[2027-28])</f>
        <v>423.6</v>
      </c>
      <c r="L65" s="59"/>
      <c r="M65" s="55"/>
      <c r="N65" s="55"/>
      <c r="O65" s="55"/>
    </row>
  </sheetData>
  <mergeCells count="4">
    <mergeCell ref="A29:L29"/>
    <mergeCell ref="A30:L30"/>
    <mergeCell ref="A31:L31"/>
    <mergeCell ref="P30:W31"/>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5"/>
  <sheetViews>
    <sheetView workbookViewId="0"/>
  </sheetViews>
  <sheetFormatPr defaultColWidth="9.140625" defaultRowHeight="15"/>
  <cols>
    <col min="1" max="1" width="25.7109375" style="30" bestFit="1" customWidth="1"/>
    <col min="2" max="11" width="9" style="30" bestFit="1" customWidth="1"/>
    <col min="12" max="12" width="16.140625" style="30" bestFit="1" customWidth="1"/>
    <col min="13" max="13" width="12.7109375" style="30" hidden="1" customWidth="1"/>
    <col min="14" max="14" width="11" style="30" hidden="1" customWidth="1"/>
    <col min="15" max="15" width="11.42578125" style="30" hidden="1" customWidth="1"/>
    <col min="16" max="16384" width="9.140625" style="30"/>
  </cols>
  <sheetData>
    <row r="1" spans="1:23" ht="20.25" thickBot="1">
      <c r="A1" s="61" t="s">
        <v>253</v>
      </c>
      <c r="M1" s="55"/>
      <c r="N1" s="55"/>
      <c r="O1" s="55"/>
      <c r="P1" s="55"/>
      <c r="Q1" s="55"/>
      <c r="R1" s="55"/>
      <c r="S1" s="55"/>
      <c r="T1" s="55"/>
      <c r="U1" s="55"/>
      <c r="V1" s="55"/>
      <c r="W1" s="55"/>
    </row>
    <row r="2" spans="1:23" ht="15.75" thickBot="1">
      <c r="A2" s="99" t="s">
        <v>240</v>
      </c>
      <c r="B2" s="99" t="s">
        <v>276</v>
      </c>
      <c r="C2" s="99" t="s">
        <v>277</v>
      </c>
      <c r="D2" s="99" t="s">
        <v>278</v>
      </c>
      <c r="E2" s="99" t="s">
        <v>279</v>
      </c>
      <c r="F2" s="99" t="s">
        <v>280</v>
      </c>
      <c r="G2" s="99" t="s">
        <v>281</v>
      </c>
      <c r="H2" s="99" t="s">
        <v>282</v>
      </c>
      <c r="I2" s="99" t="s">
        <v>283</v>
      </c>
      <c r="J2" s="99" t="s">
        <v>284</v>
      </c>
      <c r="K2" s="99" t="s">
        <v>285</v>
      </c>
      <c r="L2" s="99" t="s">
        <v>275</v>
      </c>
      <c r="M2" s="67" t="s">
        <v>241</v>
      </c>
      <c r="N2" s="67" t="s">
        <v>7</v>
      </c>
      <c r="O2" s="68" t="s">
        <v>242</v>
      </c>
    </row>
    <row r="3" spans="1:23" ht="15.75" thickBot="1">
      <c r="A3" s="78" t="s">
        <v>16</v>
      </c>
      <c r="B3" s="102">
        <v>81</v>
      </c>
      <c r="C3" s="103">
        <v>81</v>
      </c>
      <c r="D3" s="102">
        <v>81</v>
      </c>
      <c r="E3" s="103">
        <v>81</v>
      </c>
      <c r="F3" s="102">
        <v>81</v>
      </c>
      <c r="G3" s="103">
        <v>81</v>
      </c>
      <c r="H3" s="102">
        <v>81</v>
      </c>
      <c r="I3" s="103">
        <v>81</v>
      </c>
      <c r="J3" s="102">
        <v>81</v>
      </c>
      <c r="K3" s="103">
        <v>81</v>
      </c>
      <c r="L3" s="75" t="s">
        <v>8</v>
      </c>
      <c r="M3" s="21" t="s">
        <v>243</v>
      </c>
      <c r="N3" s="75" t="s">
        <v>20</v>
      </c>
      <c r="O3" s="81" t="s">
        <v>254</v>
      </c>
    </row>
    <row r="4" spans="1:23" ht="15.75" thickBot="1">
      <c r="A4" s="77" t="s">
        <v>21</v>
      </c>
      <c r="B4" s="104">
        <v>105</v>
      </c>
      <c r="C4" s="105">
        <v>105</v>
      </c>
      <c r="D4" s="104">
        <v>105</v>
      </c>
      <c r="E4" s="105">
        <v>105</v>
      </c>
      <c r="F4" s="104">
        <v>105</v>
      </c>
      <c r="G4" s="105">
        <v>105</v>
      </c>
      <c r="H4" s="104">
        <v>105</v>
      </c>
      <c r="I4" s="105">
        <v>105</v>
      </c>
      <c r="J4" s="104">
        <v>105</v>
      </c>
      <c r="K4" s="105">
        <v>105</v>
      </c>
      <c r="L4" s="74" t="s">
        <v>8</v>
      </c>
      <c r="M4" s="20" t="s">
        <v>245</v>
      </c>
      <c r="N4" s="74" t="s">
        <v>20</v>
      </c>
      <c r="O4" s="80" t="s">
        <v>254</v>
      </c>
    </row>
    <row r="5" spans="1:23" ht="15.75" thickBot="1">
      <c r="A5" s="77" t="s">
        <v>26</v>
      </c>
      <c r="B5" s="104">
        <v>173.7</v>
      </c>
      <c r="C5" s="105">
        <v>173.7</v>
      </c>
      <c r="D5" s="104">
        <v>173.7</v>
      </c>
      <c r="E5" s="105">
        <v>173.7</v>
      </c>
      <c r="F5" s="104">
        <v>173.7</v>
      </c>
      <c r="G5" s="105">
        <v>173.7</v>
      </c>
      <c r="H5" s="104">
        <v>173.7</v>
      </c>
      <c r="I5" s="105">
        <v>173.7</v>
      </c>
      <c r="J5" s="104">
        <v>173.7</v>
      </c>
      <c r="K5" s="105">
        <v>173.7</v>
      </c>
      <c r="L5" s="74" t="s">
        <v>8</v>
      </c>
      <c r="M5" s="20" t="s">
        <v>243</v>
      </c>
      <c r="N5" s="74" t="s">
        <v>20</v>
      </c>
      <c r="O5" s="80" t="s">
        <v>254</v>
      </c>
    </row>
    <row r="6" spans="1:23" ht="15.75" thickBot="1">
      <c r="A6" s="77" t="s">
        <v>28</v>
      </c>
      <c r="B6" s="104">
        <v>95</v>
      </c>
      <c r="C6" s="105">
        <v>95</v>
      </c>
      <c r="D6" s="104">
        <v>95</v>
      </c>
      <c r="E6" s="105">
        <v>95</v>
      </c>
      <c r="F6" s="104">
        <v>95</v>
      </c>
      <c r="G6" s="105">
        <v>95</v>
      </c>
      <c r="H6" s="104">
        <v>95</v>
      </c>
      <c r="I6" s="105">
        <v>95</v>
      </c>
      <c r="J6" s="104">
        <v>95</v>
      </c>
      <c r="K6" s="105">
        <v>95</v>
      </c>
      <c r="L6" s="74" t="s">
        <v>8</v>
      </c>
      <c r="M6" s="20" t="s">
        <v>243</v>
      </c>
      <c r="N6" s="74" t="s">
        <v>20</v>
      </c>
      <c r="O6" s="80" t="s">
        <v>254</v>
      </c>
    </row>
    <row r="7" spans="1:23" ht="15.75" thickBot="1">
      <c r="A7" s="77" t="s">
        <v>32</v>
      </c>
      <c r="B7" s="104">
        <v>63</v>
      </c>
      <c r="C7" s="105">
        <v>63</v>
      </c>
      <c r="D7" s="104">
        <v>63</v>
      </c>
      <c r="E7" s="105">
        <v>63</v>
      </c>
      <c r="F7" s="104">
        <v>63</v>
      </c>
      <c r="G7" s="105">
        <v>63</v>
      </c>
      <c r="H7" s="104">
        <v>63</v>
      </c>
      <c r="I7" s="105">
        <v>63</v>
      </c>
      <c r="J7" s="104">
        <v>63</v>
      </c>
      <c r="K7" s="105">
        <v>63</v>
      </c>
      <c r="L7" s="74" t="s">
        <v>8</v>
      </c>
      <c r="M7" s="20" t="s">
        <v>243</v>
      </c>
      <c r="N7" s="74" t="s">
        <v>20</v>
      </c>
      <c r="O7" s="80" t="s">
        <v>254</v>
      </c>
    </row>
    <row r="8" spans="1:23" ht="15.75" thickBot="1">
      <c r="A8" s="77" t="s">
        <v>34</v>
      </c>
      <c r="B8" s="104">
        <v>46</v>
      </c>
      <c r="C8" s="105">
        <v>46</v>
      </c>
      <c r="D8" s="104">
        <v>46</v>
      </c>
      <c r="E8" s="105">
        <v>46</v>
      </c>
      <c r="F8" s="104">
        <v>46</v>
      </c>
      <c r="G8" s="105">
        <v>46</v>
      </c>
      <c r="H8" s="104">
        <v>46</v>
      </c>
      <c r="I8" s="105">
        <v>46</v>
      </c>
      <c r="J8" s="104">
        <v>46</v>
      </c>
      <c r="K8" s="105">
        <v>46</v>
      </c>
      <c r="L8" s="74" t="s">
        <v>8</v>
      </c>
      <c r="M8" s="20" t="s">
        <v>243</v>
      </c>
      <c r="N8" s="74" t="s">
        <v>20</v>
      </c>
      <c r="O8" s="80" t="s">
        <v>254</v>
      </c>
    </row>
    <row r="9" spans="1:23" ht="15.75" thickBot="1">
      <c r="A9" s="77" t="s">
        <v>36</v>
      </c>
      <c r="B9" s="104">
        <v>370.79999999999995</v>
      </c>
      <c r="C9" s="105">
        <v>370.79999999999995</v>
      </c>
      <c r="D9" s="104">
        <v>370.79999999999995</v>
      </c>
      <c r="E9" s="105">
        <v>370.79999999999995</v>
      </c>
      <c r="F9" s="104">
        <v>370.79999999999995</v>
      </c>
      <c r="G9" s="105">
        <v>370.79999999999995</v>
      </c>
      <c r="H9" s="104">
        <v>370.79999999999995</v>
      </c>
      <c r="I9" s="105">
        <v>370.79999999999995</v>
      </c>
      <c r="J9" s="104">
        <v>370.79999999999995</v>
      </c>
      <c r="K9" s="105">
        <v>370.79999999999995</v>
      </c>
      <c r="L9" s="74" t="s">
        <v>8</v>
      </c>
      <c r="M9" s="20" t="s">
        <v>243</v>
      </c>
      <c r="N9" s="74" t="s">
        <v>20</v>
      </c>
      <c r="O9" s="80" t="s">
        <v>254</v>
      </c>
    </row>
    <row r="10" spans="1:23" ht="15.75" thickBot="1">
      <c r="A10" s="77" t="s">
        <v>337</v>
      </c>
      <c r="B10" s="104">
        <v>0</v>
      </c>
      <c r="C10" s="105">
        <v>111.6</v>
      </c>
      <c r="D10" s="104">
        <v>111.6</v>
      </c>
      <c r="E10" s="105">
        <v>111.6</v>
      </c>
      <c r="F10" s="104">
        <v>111.6</v>
      </c>
      <c r="G10" s="105">
        <v>111.6</v>
      </c>
      <c r="H10" s="104">
        <v>111.6</v>
      </c>
      <c r="I10" s="105">
        <v>111.6</v>
      </c>
      <c r="J10" s="104">
        <v>111.6</v>
      </c>
      <c r="K10" s="105">
        <v>111.6</v>
      </c>
      <c r="L10" s="74" t="s">
        <v>12</v>
      </c>
      <c r="M10" s="20" t="s">
        <v>11</v>
      </c>
      <c r="N10" s="74" t="s">
        <v>20</v>
      </c>
      <c r="O10" s="80" t="s">
        <v>254</v>
      </c>
    </row>
    <row r="11" spans="1:23" ht="15.75" thickBot="1">
      <c r="A11" s="77" t="s">
        <v>39</v>
      </c>
      <c r="B11" s="104">
        <v>140</v>
      </c>
      <c r="C11" s="105">
        <v>140</v>
      </c>
      <c r="D11" s="104">
        <v>140</v>
      </c>
      <c r="E11" s="105">
        <v>140</v>
      </c>
      <c r="F11" s="104">
        <v>140</v>
      </c>
      <c r="G11" s="105">
        <v>140</v>
      </c>
      <c r="H11" s="104">
        <v>0</v>
      </c>
      <c r="I11" s="105">
        <v>140</v>
      </c>
      <c r="J11" s="104">
        <v>140</v>
      </c>
      <c r="K11" s="105">
        <v>140</v>
      </c>
      <c r="L11" s="74" t="s">
        <v>8</v>
      </c>
      <c r="M11" s="20" t="s">
        <v>243</v>
      </c>
      <c r="N11" s="74" t="s">
        <v>20</v>
      </c>
      <c r="O11" s="80" t="s">
        <v>254</v>
      </c>
    </row>
    <row r="12" spans="1:23" ht="15.75" thickBot="1">
      <c r="A12" s="77" t="s">
        <v>41</v>
      </c>
      <c r="B12" s="104">
        <v>0</v>
      </c>
      <c r="C12" s="105">
        <v>0</v>
      </c>
      <c r="D12" s="104">
        <v>30</v>
      </c>
      <c r="E12" s="105">
        <v>30</v>
      </c>
      <c r="F12" s="104">
        <v>30</v>
      </c>
      <c r="G12" s="105">
        <v>0</v>
      </c>
      <c r="H12" s="104">
        <v>30</v>
      </c>
      <c r="I12" s="105">
        <v>30</v>
      </c>
      <c r="J12" s="104">
        <v>30</v>
      </c>
      <c r="K12" s="105">
        <v>30</v>
      </c>
      <c r="L12" s="74" t="s">
        <v>8</v>
      </c>
      <c r="M12" s="20" t="s">
        <v>243</v>
      </c>
      <c r="N12" s="74" t="s">
        <v>20</v>
      </c>
      <c r="O12" s="80" t="s">
        <v>254</v>
      </c>
    </row>
    <row r="13" spans="1:23" ht="15.75" thickBot="1">
      <c r="A13" s="77" t="s">
        <v>43</v>
      </c>
      <c r="B13" s="104">
        <v>86</v>
      </c>
      <c r="C13" s="105">
        <v>86</v>
      </c>
      <c r="D13" s="104">
        <v>86</v>
      </c>
      <c r="E13" s="105">
        <v>86</v>
      </c>
      <c r="F13" s="104">
        <v>86</v>
      </c>
      <c r="G13" s="105">
        <v>86</v>
      </c>
      <c r="H13" s="104">
        <v>86</v>
      </c>
      <c r="I13" s="105">
        <v>86</v>
      </c>
      <c r="J13" s="104">
        <v>86</v>
      </c>
      <c r="K13" s="105">
        <v>86</v>
      </c>
      <c r="L13" s="74" t="s">
        <v>8</v>
      </c>
      <c r="M13" s="20" t="s">
        <v>243</v>
      </c>
      <c r="N13" s="74" t="s">
        <v>20</v>
      </c>
      <c r="O13" s="80" t="s">
        <v>254</v>
      </c>
    </row>
    <row r="14" spans="1:23" ht="15.75" thickBot="1">
      <c r="A14" s="77" t="s">
        <v>46</v>
      </c>
      <c r="B14" s="104">
        <v>81</v>
      </c>
      <c r="C14" s="105">
        <v>81</v>
      </c>
      <c r="D14" s="104">
        <v>81</v>
      </c>
      <c r="E14" s="105">
        <v>81</v>
      </c>
      <c r="F14" s="104">
        <v>81</v>
      </c>
      <c r="G14" s="105">
        <v>81</v>
      </c>
      <c r="H14" s="104">
        <v>81</v>
      </c>
      <c r="I14" s="105">
        <v>81</v>
      </c>
      <c r="J14" s="104">
        <v>81</v>
      </c>
      <c r="K14" s="105">
        <v>81</v>
      </c>
      <c r="L14" s="74" t="s">
        <v>8</v>
      </c>
      <c r="M14" s="20" t="s">
        <v>243</v>
      </c>
      <c r="N14" s="74" t="s">
        <v>20</v>
      </c>
      <c r="O14" s="80" t="s">
        <v>254</v>
      </c>
    </row>
    <row r="15" spans="1:23" ht="15.75" thickBot="1">
      <c r="A15" s="77" t="s">
        <v>47</v>
      </c>
      <c r="B15" s="104">
        <v>43.8</v>
      </c>
      <c r="C15" s="105">
        <v>43.8</v>
      </c>
      <c r="D15" s="104">
        <v>43.8</v>
      </c>
      <c r="E15" s="105">
        <v>43.8</v>
      </c>
      <c r="F15" s="104">
        <v>43.8</v>
      </c>
      <c r="G15" s="105">
        <v>43.8</v>
      </c>
      <c r="H15" s="104">
        <v>43.8</v>
      </c>
      <c r="I15" s="105">
        <v>43.8</v>
      </c>
      <c r="J15" s="104">
        <v>43.8</v>
      </c>
      <c r="K15" s="105">
        <v>43.8</v>
      </c>
      <c r="L15" s="74" t="s">
        <v>8</v>
      </c>
      <c r="M15" s="20" t="s">
        <v>243</v>
      </c>
      <c r="N15" s="74" t="s">
        <v>20</v>
      </c>
      <c r="O15" s="80" t="s">
        <v>254</v>
      </c>
    </row>
    <row r="16" spans="1:23" ht="15.75" thickBot="1">
      <c r="A16" s="77" t="s">
        <v>324</v>
      </c>
      <c r="B16" s="104">
        <v>168</v>
      </c>
      <c r="C16" s="105">
        <v>168</v>
      </c>
      <c r="D16" s="104">
        <v>168</v>
      </c>
      <c r="E16" s="105">
        <v>168</v>
      </c>
      <c r="F16" s="104">
        <v>168</v>
      </c>
      <c r="G16" s="105">
        <v>168</v>
      </c>
      <c r="H16" s="104">
        <v>168</v>
      </c>
      <c r="I16" s="105">
        <v>168</v>
      </c>
      <c r="J16" s="104">
        <v>168</v>
      </c>
      <c r="K16" s="105">
        <v>168</v>
      </c>
      <c r="L16" s="74" t="s">
        <v>12</v>
      </c>
      <c r="M16" s="20" t="s">
        <v>11</v>
      </c>
      <c r="N16" s="74" t="s">
        <v>20</v>
      </c>
      <c r="O16" s="80" t="s">
        <v>254</v>
      </c>
    </row>
    <row r="17" spans="1:23" ht="15.75" thickBot="1">
      <c r="A17" s="77" t="s">
        <v>51</v>
      </c>
      <c r="B17" s="104">
        <v>342</v>
      </c>
      <c r="C17" s="105">
        <v>342</v>
      </c>
      <c r="D17" s="104">
        <v>342</v>
      </c>
      <c r="E17" s="105">
        <v>342</v>
      </c>
      <c r="F17" s="104">
        <v>285</v>
      </c>
      <c r="G17" s="105">
        <v>342</v>
      </c>
      <c r="H17" s="104">
        <v>342</v>
      </c>
      <c r="I17" s="105">
        <v>342</v>
      </c>
      <c r="J17" s="104">
        <v>342</v>
      </c>
      <c r="K17" s="105">
        <v>342</v>
      </c>
      <c r="L17" s="74" t="s">
        <v>8</v>
      </c>
      <c r="M17" s="20" t="s">
        <v>243</v>
      </c>
      <c r="N17" s="74" t="s">
        <v>20</v>
      </c>
      <c r="O17" s="80" t="s">
        <v>254</v>
      </c>
    </row>
    <row r="18" spans="1:23" ht="15.75" thickBot="1">
      <c r="A18" s="77" t="s">
        <v>53</v>
      </c>
      <c r="B18" s="104">
        <v>232</v>
      </c>
      <c r="C18" s="105">
        <v>232</v>
      </c>
      <c r="D18" s="104">
        <v>232</v>
      </c>
      <c r="E18" s="105">
        <v>232</v>
      </c>
      <c r="F18" s="104">
        <v>232</v>
      </c>
      <c r="G18" s="105">
        <v>232</v>
      </c>
      <c r="H18" s="104">
        <v>232</v>
      </c>
      <c r="I18" s="105">
        <v>232</v>
      </c>
      <c r="J18" s="104">
        <v>232</v>
      </c>
      <c r="K18" s="105">
        <v>232</v>
      </c>
      <c r="L18" s="74" t="s">
        <v>8</v>
      </c>
      <c r="M18" s="20" t="s">
        <v>243</v>
      </c>
      <c r="N18" s="74" t="s">
        <v>20</v>
      </c>
      <c r="O18" s="80" t="s">
        <v>254</v>
      </c>
    </row>
    <row r="19" spans="1:23" ht="15.75" thickBot="1">
      <c r="A19" s="77" t="s">
        <v>55</v>
      </c>
      <c r="B19" s="104">
        <v>0</v>
      </c>
      <c r="C19" s="105">
        <v>0</v>
      </c>
      <c r="D19" s="104">
        <v>0</v>
      </c>
      <c r="E19" s="105">
        <v>0</v>
      </c>
      <c r="F19" s="104">
        <v>0</v>
      </c>
      <c r="G19" s="105">
        <v>0</v>
      </c>
      <c r="H19" s="104">
        <v>0</v>
      </c>
      <c r="I19" s="105">
        <v>0</v>
      </c>
      <c r="J19" s="104">
        <v>0</v>
      </c>
      <c r="K19" s="105">
        <v>0</v>
      </c>
      <c r="L19" s="74" t="s">
        <v>8</v>
      </c>
      <c r="M19" s="20" t="s">
        <v>245</v>
      </c>
      <c r="N19" s="74" t="s">
        <v>20</v>
      </c>
      <c r="O19" s="80" t="s">
        <v>254</v>
      </c>
    </row>
    <row r="20" spans="1:23" ht="15.75" thickBot="1">
      <c r="A20" s="77" t="s">
        <v>57</v>
      </c>
      <c r="B20" s="104">
        <v>58</v>
      </c>
      <c r="C20" s="105">
        <v>58</v>
      </c>
      <c r="D20" s="104">
        <v>58</v>
      </c>
      <c r="E20" s="105">
        <v>58</v>
      </c>
      <c r="F20" s="104">
        <v>58</v>
      </c>
      <c r="G20" s="105">
        <v>58</v>
      </c>
      <c r="H20" s="104">
        <v>58</v>
      </c>
      <c r="I20" s="105">
        <v>58</v>
      </c>
      <c r="J20" s="104">
        <v>58</v>
      </c>
      <c r="K20" s="105">
        <v>58</v>
      </c>
      <c r="L20" s="74" t="s">
        <v>8</v>
      </c>
      <c r="M20" s="20" t="s">
        <v>245</v>
      </c>
      <c r="N20" s="74" t="s">
        <v>20</v>
      </c>
      <c r="O20" s="80" t="s">
        <v>254</v>
      </c>
    </row>
    <row r="21" spans="1:23" ht="15.75" thickBot="1">
      <c r="A21" s="77" t="s">
        <v>59</v>
      </c>
      <c r="B21" s="104">
        <v>90</v>
      </c>
      <c r="C21" s="105">
        <v>90</v>
      </c>
      <c r="D21" s="104">
        <v>90</v>
      </c>
      <c r="E21" s="105">
        <v>75</v>
      </c>
      <c r="F21" s="104">
        <v>75</v>
      </c>
      <c r="G21" s="105">
        <v>75</v>
      </c>
      <c r="H21" s="104">
        <v>90</v>
      </c>
      <c r="I21" s="105">
        <v>90</v>
      </c>
      <c r="J21" s="104">
        <v>90</v>
      </c>
      <c r="K21" s="105">
        <v>90</v>
      </c>
      <c r="L21" s="74" t="s">
        <v>8</v>
      </c>
      <c r="M21" s="20" t="s">
        <v>243</v>
      </c>
      <c r="N21" s="74" t="s">
        <v>20</v>
      </c>
      <c r="O21" s="80" t="s">
        <v>254</v>
      </c>
    </row>
    <row r="22" spans="1:23" ht="15.75" thickBot="1">
      <c r="A22" s="77" t="s">
        <v>61</v>
      </c>
      <c r="B22" s="104">
        <v>102.8</v>
      </c>
      <c r="C22" s="105">
        <v>102.8</v>
      </c>
      <c r="D22" s="104">
        <v>102.8</v>
      </c>
      <c r="E22" s="105">
        <v>102.8</v>
      </c>
      <c r="F22" s="104">
        <v>102.8</v>
      </c>
      <c r="G22" s="105">
        <v>102.8</v>
      </c>
      <c r="H22" s="104">
        <v>102.8</v>
      </c>
      <c r="I22" s="105">
        <v>102.8</v>
      </c>
      <c r="J22" s="104">
        <v>102.8</v>
      </c>
      <c r="K22" s="105">
        <v>102.8</v>
      </c>
      <c r="L22" s="74" t="s">
        <v>8</v>
      </c>
      <c r="M22" s="20" t="s">
        <v>243</v>
      </c>
      <c r="N22" s="74" t="s">
        <v>20</v>
      </c>
      <c r="O22" s="80" t="s">
        <v>254</v>
      </c>
    </row>
    <row r="23" spans="1:23" ht="15.75" thickBot="1">
      <c r="A23" s="77" t="s">
        <v>63</v>
      </c>
      <c r="B23" s="104">
        <v>88</v>
      </c>
      <c r="C23" s="105">
        <v>88</v>
      </c>
      <c r="D23" s="104">
        <v>88</v>
      </c>
      <c r="E23" s="105">
        <v>88</v>
      </c>
      <c r="F23" s="104">
        <v>88</v>
      </c>
      <c r="G23" s="105">
        <v>88</v>
      </c>
      <c r="H23" s="104">
        <v>88</v>
      </c>
      <c r="I23" s="105">
        <v>88</v>
      </c>
      <c r="J23" s="104">
        <v>88</v>
      </c>
      <c r="K23" s="105">
        <v>88</v>
      </c>
      <c r="L23" s="74" t="s">
        <v>8</v>
      </c>
      <c r="M23" s="20" t="s">
        <v>243</v>
      </c>
      <c r="N23" s="74" t="s">
        <v>20</v>
      </c>
      <c r="O23" s="80" t="s">
        <v>254</v>
      </c>
    </row>
    <row r="24" spans="1:23" ht="15.75" thickBot="1">
      <c r="A24" s="77" t="s">
        <v>65</v>
      </c>
      <c r="B24" s="104">
        <v>130.5</v>
      </c>
      <c r="C24" s="105">
        <v>130.5</v>
      </c>
      <c r="D24" s="104">
        <v>130.5</v>
      </c>
      <c r="E24" s="105">
        <v>130.5</v>
      </c>
      <c r="F24" s="104">
        <v>130.5</v>
      </c>
      <c r="G24" s="105">
        <v>130.5</v>
      </c>
      <c r="H24" s="104">
        <v>130.5</v>
      </c>
      <c r="I24" s="105">
        <v>130.5</v>
      </c>
      <c r="J24" s="104">
        <v>130.5</v>
      </c>
      <c r="K24" s="105">
        <v>130.5</v>
      </c>
      <c r="L24" s="74" t="s">
        <v>8</v>
      </c>
      <c r="M24" s="20" t="s">
        <v>243</v>
      </c>
      <c r="N24" s="74" t="s">
        <v>20</v>
      </c>
      <c r="O24" s="80" t="s">
        <v>254</v>
      </c>
    </row>
    <row r="25" spans="1:23">
      <c r="A25" s="79" t="s">
        <v>108</v>
      </c>
      <c r="B25" s="106">
        <v>0</v>
      </c>
      <c r="C25" s="107">
        <v>144</v>
      </c>
      <c r="D25" s="106">
        <v>144</v>
      </c>
      <c r="E25" s="107">
        <v>144</v>
      </c>
      <c r="F25" s="106">
        <v>144</v>
      </c>
      <c r="G25" s="107">
        <v>144</v>
      </c>
      <c r="H25" s="106">
        <v>144</v>
      </c>
      <c r="I25" s="107">
        <v>144</v>
      </c>
      <c r="J25" s="106">
        <v>144</v>
      </c>
      <c r="K25" s="107">
        <v>144</v>
      </c>
      <c r="L25" s="76" t="s">
        <v>12</v>
      </c>
      <c r="M25" s="54" t="s">
        <v>11</v>
      </c>
      <c r="N25" s="76" t="s">
        <v>20</v>
      </c>
      <c r="O25" s="82" t="s">
        <v>254</v>
      </c>
    </row>
    <row r="26" spans="1:23" ht="15.75" thickBot="1">
      <c r="B26" s="108"/>
      <c r="C26" s="108"/>
      <c r="D26" s="108"/>
      <c r="E26" s="108"/>
      <c r="F26" s="108"/>
      <c r="G26" s="108"/>
      <c r="H26" s="108"/>
      <c r="I26" s="108"/>
      <c r="J26" s="108"/>
      <c r="K26" s="108"/>
      <c r="P26" s="55"/>
      <c r="Q26" s="55"/>
      <c r="R26" s="55"/>
      <c r="S26" s="55"/>
      <c r="T26" s="55"/>
      <c r="U26" s="55"/>
      <c r="V26" s="55"/>
      <c r="W26" s="55"/>
    </row>
    <row r="27" spans="1:23" ht="15.75" thickBot="1">
      <c r="A27" s="58" t="s">
        <v>67</v>
      </c>
      <c r="B27" s="109">
        <f>SUM(wincapsalltable[2019])</f>
        <v>2496.6000000000004</v>
      </c>
      <c r="C27" s="109">
        <f>SUM(wincapsalltable[2020])</f>
        <v>2752.2</v>
      </c>
      <c r="D27" s="109">
        <f>SUM(wincapsalltable[2021])</f>
        <v>2782.2</v>
      </c>
      <c r="E27" s="109">
        <f>SUM(wincapsalltable[2022])</f>
        <v>2767.2</v>
      </c>
      <c r="F27" s="109">
        <f>SUM(wincapsalltable[2023])</f>
        <v>2710.2</v>
      </c>
      <c r="G27" s="109">
        <f>SUM(wincapsalltable[2024])</f>
        <v>2737.2</v>
      </c>
      <c r="H27" s="109">
        <f>SUM(wincapsalltable[2025])</f>
        <v>2642.2</v>
      </c>
      <c r="I27" s="109">
        <f>SUM(wincapsalltable[2026])</f>
        <v>2782.2</v>
      </c>
      <c r="J27" s="109">
        <f>SUM(wincapsalltable[2027])</f>
        <v>2782.2</v>
      </c>
      <c r="K27" s="109">
        <f>SUM(wincapsalltable[2028])</f>
        <v>2782.2</v>
      </c>
      <c r="L27" s="59"/>
      <c r="M27" s="55"/>
      <c r="N27" s="55"/>
      <c r="O27" s="55"/>
      <c r="P27" s="55"/>
      <c r="Q27" s="55"/>
      <c r="R27" s="55"/>
      <c r="S27" s="55"/>
      <c r="T27" s="55"/>
      <c r="U27" s="55"/>
      <c r="V27" s="55"/>
      <c r="W27" s="55"/>
    </row>
    <row r="28" spans="1:23" ht="30" customHeight="1">
      <c r="B28" s="62"/>
      <c r="C28" s="62"/>
      <c r="D28" s="62"/>
      <c r="E28" s="62"/>
      <c r="F28" s="62"/>
      <c r="G28" s="62"/>
      <c r="H28" s="62"/>
      <c r="I28" s="62"/>
      <c r="J28" s="62"/>
      <c r="K28" s="62"/>
      <c r="M28" s="55"/>
      <c r="N28" s="55"/>
      <c r="O28" s="55"/>
      <c r="P28" s="55"/>
      <c r="Q28" s="55"/>
      <c r="R28" s="55"/>
      <c r="S28" s="55"/>
      <c r="T28" s="55"/>
      <c r="U28" s="55"/>
      <c r="V28" s="55"/>
      <c r="W28" s="55"/>
    </row>
    <row r="29" spans="1:23" ht="30" customHeight="1">
      <c r="A29" s="163" t="s">
        <v>255</v>
      </c>
      <c r="B29" s="164"/>
      <c r="C29" s="164"/>
      <c r="D29" s="164"/>
      <c r="E29" s="164"/>
      <c r="F29" s="164"/>
      <c r="G29" s="164"/>
      <c r="H29" s="164"/>
      <c r="I29" s="164"/>
      <c r="J29" s="164"/>
      <c r="K29" s="164"/>
      <c r="L29" s="164"/>
      <c r="M29" s="55"/>
      <c r="N29" s="55"/>
      <c r="O29" s="55"/>
      <c r="P29" s="55"/>
      <c r="Q29" s="55"/>
      <c r="R29" s="55"/>
      <c r="S29" s="55"/>
      <c r="T29" s="55"/>
      <c r="U29" s="55"/>
      <c r="V29" s="55"/>
      <c r="W29" s="55"/>
    </row>
    <row r="30" spans="1:23" ht="43.5" customHeight="1">
      <c r="A30" s="163" t="s">
        <v>247</v>
      </c>
      <c r="B30" s="164"/>
      <c r="C30" s="164"/>
      <c r="D30" s="164"/>
      <c r="E30" s="164"/>
      <c r="F30" s="164"/>
      <c r="G30" s="164"/>
      <c r="H30" s="164"/>
      <c r="I30" s="164"/>
      <c r="J30" s="164"/>
      <c r="K30" s="164"/>
      <c r="L30" s="164"/>
      <c r="M30" s="55"/>
      <c r="N30" s="55"/>
      <c r="O30" s="55"/>
      <c r="P30" s="166"/>
      <c r="Q30" s="166"/>
      <c r="R30" s="166"/>
      <c r="S30" s="166"/>
      <c r="T30" s="166"/>
      <c r="U30" s="166"/>
      <c r="V30" s="166"/>
      <c r="W30" s="166"/>
    </row>
    <row r="31" spans="1:23" ht="69" customHeight="1">
      <c r="A31" s="163" t="s">
        <v>256</v>
      </c>
      <c r="B31" s="164"/>
      <c r="C31" s="164"/>
      <c r="D31" s="164"/>
      <c r="E31" s="164"/>
      <c r="F31" s="164"/>
      <c r="G31" s="164"/>
      <c r="H31" s="164"/>
      <c r="I31" s="164"/>
      <c r="J31" s="164"/>
      <c r="K31" s="164"/>
      <c r="L31" s="164"/>
      <c r="M31" s="55"/>
      <c r="N31" s="55"/>
      <c r="O31" s="55"/>
      <c r="P31" s="166"/>
      <c r="Q31" s="166"/>
      <c r="R31" s="166"/>
      <c r="S31" s="166"/>
      <c r="T31" s="166"/>
      <c r="U31" s="166"/>
      <c r="V31" s="166"/>
      <c r="W31" s="166"/>
    </row>
    <row r="32" spans="1:23" ht="15.75" thickBot="1">
      <c r="M32" s="55"/>
      <c r="N32" s="55"/>
      <c r="O32" s="55"/>
      <c r="P32" s="55"/>
      <c r="Q32" s="55"/>
      <c r="R32" s="55"/>
      <c r="S32" s="55"/>
      <c r="T32" s="55"/>
      <c r="U32" s="55"/>
      <c r="V32" s="55"/>
      <c r="W32" s="55"/>
    </row>
    <row r="33" spans="1:15" ht="20.25" thickBot="1">
      <c r="A33" s="61" t="s">
        <v>257</v>
      </c>
      <c r="M33" s="55"/>
      <c r="N33" s="55"/>
      <c r="O33" s="55"/>
    </row>
    <row r="34" spans="1:15" ht="15.75" thickBot="1">
      <c r="A34" s="99" t="s">
        <v>240</v>
      </c>
      <c r="B34" s="99" t="s">
        <v>276</v>
      </c>
      <c r="C34" s="99" t="s">
        <v>277</v>
      </c>
      <c r="D34" s="99" t="s">
        <v>278</v>
      </c>
      <c r="E34" s="99" t="s">
        <v>279</v>
      </c>
      <c r="F34" s="99" t="s">
        <v>280</v>
      </c>
      <c r="G34" s="99" t="s">
        <v>281</v>
      </c>
      <c r="H34" s="99" t="s">
        <v>282</v>
      </c>
      <c r="I34" s="99" t="s">
        <v>283</v>
      </c>
      <c r="J34" s="99" t="s">
        <v>284</v>
      </c>
      <c r="K34" s="99" t="s">
        <v>285</v>
      </c>
      <c r="L34" s="99" t="s">
        <v>275</v>
      </c>
      <c r="M34" s="67" t="s">
        <v>241</v>
      </c>
      <c r="N34" s="67" t="s">
        <v>7</v>
      </c>
      <c r="O34" s="68" t="s">
        <v>242</v>
      </c>
    </row>
    <row r="35" spans="1:15" ht="15.75" thickBot="1">
      <c r="A35" s="64" t="s">
        <v>16</v>
      </c>
      <c r="B35" s="110">
        <v>81</v>
      </c>
      <c r="C35" s="111">
        <v>81</v>
      </c>
      <c r="D35" s="110">
        <v>81</v>
      </c>
      <c r="E35" s="111">
        <v>81</v>
      </c>
      <c r="F35" s="110">
        <v>81</v>
      </c>
      <c r="G35" s="111">
        <v>81</v>
      </c>
      <c r="H35" s="110">
        <v>81</v>
      </c>
      <c r="I35" s="111">
        <v>81</v>
      </c>
      <c r="J35" s="110">
        <v>81</v>
      </c>
      <c r="K35" s="111">
        <v>81</v>
      </c>
      <c r="L35" s="56" t="s">
        <v>8</v>
      </c>
      <c r="M35" s="57" t="s">
        <v>243</v>
      </c>
      <c r="N35" s="56" t="s">
        <v>20</v>
      </c>
      <c r="O35" s="65" t="s">
        <v>254</v>
      </c>
    </row>
    <row r="36" spans="1:15" ht="15.75" thickBot="1">
      <c r="A36" s="64" t="s">
        <v>21</v>
      </c>
      <c r="B36" s="110">
        <v>105</v>
      </c>
      <c r="C36" s="111">
        <v>105</v>
      </c>
      <c r="D36" s="110">
        <v>105</v>
      </c>
      <c r="E36" s="111">
        <v>105</v>
      </c>
      <c r="F36" s="110">
        <v>105</v>
      </c>
      <c r="G36" s="111">
        <v>105</v>
      </c>
      <c r="H36" s="110">
        <v>105</v>
      </c>
      <c r="I36" s="111">
        <v>105</v>
      </c>
      <c r="J36" s="110">
        <v>105</v>
      </c>
      <c r="K36" s="111">
        <v>105</v>
      </c>
      <c r="L36" s="56" t="s">
        <v>8</v>
      </c>
      <c r="M36" s="57" t="s">
        <v>245</v>
      </c>
      <c r="N36" s="56" t="s">
        <v>20</v>
      </c>
      <c r="O36" s="65" t="s">
        <v>254</v>
      </c>
    </row>
    <row r="37" spans="1:15" ht="15.75" thickBot="1">
      <c r="A37" s="64" t="s">
        <v>26</v>
      </c>
      <c r="B37" s="110">
        <v>173.7</v>
      </c>
      <c r="C37" s="111">
        <v>173.7</v>
      </c>
      <c r="D37" s="110">
        <v>173.7</v>
      </c>
      <c r="E37" s="111">
        <v>173.7</v>
      </c>
      <c r="F37" s="110">
        <v>173.7</v>
      </c>
      <c r="G37" s="111">
        <v>173.7</v>
      </c>
      <c r="H37" s="110">
        <v>173.7</v>
      </c>
      <c r="I37" s="111">
        <v>173.7</v>
      </c>
      <c r="J37" s="110">
        <v>173.7</v>
      </c>
      <c r="K37" s="111">
        <v>173.7</v>
      </c>
      <c r="L37" s="56" t="s">
        <v>8</v>
      </c>
      <c r="M37" s="57" t="s">
        <v>243</v>
      </c>
      <c r="N37" s="56" t="s">
        <v>20</v>
      </c>
      <c r="O37" s="65" t="s">
        <v>254</v>
      </c>
    </row>
    <row r="38" spans="1:15" ht="15.75" thickBot="1">
      <c r="A38" s="64" t="s">
        <v>28</v>
      </c>
      <c r="B38" s="110">
        <v>95</v>
      </c>
      <c r="C38" s="111">
        <v>95</v>
      </c>
      <c r="D38" s="110">
        <v>95</v>
      </c>
      <c r="E38" s="111">
        <v>95</v>
      </c>
      <c r="F38" s="110">
        <v>95</v>
      </c>
      <c r="G38" s="111">
        <v>95</v>
      </c>
      <c r="H38" s="110">
        <v>95</v>
      </c>
      <c r="I38" s="111">
        <v>95</v>
      </c>
      <c r="J38" s="110">
        <v>95</v>
      </c>
      <c r="K38" s="111">
        <v>95</v>
      </c>
      <c r="L38" s="56" t="s">
        <v>8</v>
      </c>
      <c r="M38" s="57" t="s">
        <v>243</v>
      </c>
      <c r="N38" s="56" t="s">
        <v>20</v>
      </c>
      <c r="O38" s="65" t="s">
        <v>254</v>
      </c>
    </row>
    <row r="39" spans="1:15" ht="15.75" thickBot="1">
      <c r="A39" s="64" t="s">
        <v>32</v>
      </c>
      <c r="B39" s="110">
        <v>63</v>
      </c>
      <c r="C39" s="111">
        <v>63</v>
      </c>
      <c r="D39" s="110">
        <v>63</v>
      </c>
      <c r="E39" s="111">
        <v>63</v>
      </c>
      <c r="F39" s="110">
        <v>63</v>
      </c>
      <c r="G39" s="111">
        <v>63</v>
      </c>
      <c r="H39" s="110">
        <v>63</v>
      </c>
      <c r="I39" s="111">
        <v>63</v>
      </c>
      <c r="J39" s="110">
        <v>63</v>
      </c>
      <c r="K39" s="111">
        <v>63</v>
      </c>
      <c r="L39" s="56" t="s">
        <v>8</v>
      </c>
      <c r="M39" s="57" t="s">
        <v>243</v>
      </c>
      <c r="N39" s="56" t="s">
        <v>20</v>
      </c>
      <c r="O39" s="65" t="s">
        <v>254</v>
      </c>
    </row>
    <row r="40" spans="1:15" ht="15.75" thickBot="1">
      <c r="A40" s="64" t="s">
        <v>34</v>
      </c>
      <c r="B40" s="110">
        <v>46</v>
      </c>
      <c r="C40" s="111">
        <v>46</v>
      </c>
      <c r="D40" s="110">
        <v>46</v>
      </c>
      <c r="E40" s="111">
        <v>46</v>
      </c>
      <c r="F40" s="110">
        <v>46</v>
      </c>
      <c r="G40" s="111">
        <v>46</v>
      </c>
      <c r="H40" s="110">
        <v>46</v>
      </c>
      <c r="I40" s="111">
        <v>46</v>
      </c>
      <c r="J40" s="110">
        <v>46</v>
      </c>
      <c r="K40" s="111">
        <v>46</v>
      </c>
      <c r="L40" s="56" t="s">
        <v>8</v>
      </c>
      <c r="M40" s="57" t="s">
        <v>243</v>
      </c>
      <c r="N40" s="56" t="s">
        <v>20</v>
      </c>
      <c r="O40" s="65" t="s">
        <v>254</v>
      </c>
    </row>
    <row r="41" spans="1:15" ht="15.75" thickBot="1">
      <c r="A41" s="64" t="s">
        <v>36</v>
      </c>
      <c r="B41" s="110">
        <v>370.79999999999995</v>
      </c>
      <c r="C41" s="111">
        <v>370.79999999999995</v>
      </c>
      <c r="D41" s="110">
        <v>370.79999999999995</v>
      </c>
      <c r="E41" s="111">
        <v>370.79999999999995</v>
      </c>
      <c r="F41" s="110">
        <v>370.79999999999995</v>
      </c>
      <c r="G41" s="111">
        <v>370.79999999999995</v>
      </c>
      <c r="H41" s="110">
        <v>370.79999999999995</v>
      </c>
      <c r="I41" s="111">
        <v>370.79999999999995</v>
      </c>
      <c r="J41" s="110">
        <v>370.79999999999995</v>
      </c>
      <c r="K41" s="111">
        <v>370.79999999999995</v>
      </c>
      <c r="L41" s="56" t="s">
        <v>8</v>
      </c>
      <c r="M41" s="57" t="s">
        <v>243</v>
      </c>
      <c r="N41" s="56" t="s">
        <v>20</v>
      </c>
      <c r="O41" s="65" t="s">
        <v>254</v>
      </c>
    </row>
    <row r="42" spans="1:15" ht="15.75" thickBot="1">
      <c r="A42" s="64" t="s">
        <v>39</v>
      </c>
      <c r="B42" s="110">
        <v>140</v>
      </c>
      <c r="C42" s="111">
        <v>140</v>
      </c>
      <c r="D42" s="110">
        <v>140</v>
      </c>
      <c r="E42" s="111">
        <v>140</v>
      </c>
      <c r="F42" s="110">
        <v>140</v>
      </c>
      <c r="G42" s="111">
        <v>140</v>
      </c>
      <c r="H42" s="110">
        <v>0</v>
      </c>
      <c r="I42" s="111">
        <v>140</v>
      </c>
      <c r="J42" s="110">
        <v>140</v>
      </c>
      <c r="K42" s="111">
        <v>140</v>
      </c>
      <c r="L42" s="56" t="s">
        <v>8</v>
      </c>
      <c r="M42" s="57" t="s">
        <v>243</v>
      </c>
      <c r="N42" s="56" t="s">
        <v>20</v>
      </c>
      <c r="O42" s="65" t="s">
        <v>254</v>
      </c>
    </row>
    <row r="43" spans="1:15" ht="15.75" thickBot="1">
      <c r="A43" s="64" t="s">
        <v>41</v>
      </c>
      <c r="B43" s="110">
        <v>0</v>
      </c>
      <c r="C43" s="111">
        <v>0</v>
      </c>
      <c r="D43" s="110">
        <v>30</v>
      </c>
      <c r="E43" s="111">
        <v>30</v>
      </c>
      <c r="F43" s="110">
        <v>30</v>
      </c>
      <c r="G43" s="111">
        <v>0</v>
      </c>
      <c r="H43" s="110">
        <v>30</v>
      </c>
      <c r="I43" s="111">
        <v>30</v>
      </c>
      <c r="J43" s="110">
        <v>30</v>
      </c>
      <c r="K43" s="111">
        <v>30</v>
      </c>
      <c r="L43" s="56" t="s">
        <v>8</v>
      </c>
      <c r="M43" s="57" t="s">
        <v>243</v>
      </c>
      <c r="N43" s="56" t="s">
        <v>20</v>
      </c>
      <c r="O43" s="65" t="s">
        <v>254</v>
      </c>
    </row>
    <row r="44" spans="1:15" ht="15.75" thickBot="1">
      <c r="A44" s="64" t="s">
        <v>43</v>
      </c>
      <c r="B44" s="110">
        <v>86</v>
      </c>
      <c r="C44" s="111">
        <v>86</v>
      </c>
      <c r="D44" s="110">
        <v>86</v>
      </c>
      <c r="E44" s="111">
        <v>86</v>
      </c>
      <c r="F44" s="110">
        <v>86</v>
      </c>
      <c r="G44" s="111">
        <v>86</v>
      </c>
      <c r="H44" s="110">
        <v>86</v>
      </c>
      <c r="I44" s="111">
        <v>86</v>
      </c>
      <c r="J44" s="110">
        <v>86</v>
      </c>
      <c r="K44" s="111">
        <v>86</v>
      </c>
      <c r="L44" s="56" t="s">
        <v>8</v>
      </c>
      <c r="M44" s="57" t="s">
        <v>243</v>
      </c>
      <c r="N44" s="56" t="s">
        <v>20</v>
      </c>
      <c r="O44" s="65" t="s">
        <v>254</v>
      </c>
    </row>
    <row r="45" spans="1:15" ht="15.75" thickBot="1">
      <c r="A45" s="64" t="s">
        <v>46</v>
      </c>
      <c r="B45" s="110">
        <v>81</v>
      </c>
      <c r="C45" s="111">
        <v>81</v>
      </c>
      <c r="D45" s="110">
        <v>81</v>
      </c>
      <c r="E45" s="111">
        <v>81</v>
      </c>
      <c r="F45" s="110">
        <v>81</v>
      </c>
      <c r="G45" s="111">
        <v>81</v>
      </c>
      <c r="H45" s="110">
        <v>81</v>
      </c>
      <c r="I45" s="111">
        <v>81</v>
      </c>
      <c r="J45" s="110">
        <v>81</v>
      </c>
      <c r="K45" s="111">
        <v>81</v>
      </c>
      <c r="L45" s="56" t="s">
        <v>8</v>
      </c>
      <c r="M45" s="57" t="s">
        <v>243</v>
      </c>
      <c r="N45" s="56" t="s">
        <v>20</v>
      </c>
      <c r="O45" s="65" t="s">
        <v>254</v>
      </c>
    </row>
    <row r="46" spans="1:15" ht="15.75" thickBot="1">
      <c r="A46" s="64" t="s">
        <v>47</v>
      </c>
      <c r="B46" s="110">
        <v>43.8</v>
      </c>
      <c r="C46" s="111">
        <v>43.8</v>
      </c>
      <c r="D46" s="110">
        <v>43.8</v>
      </c>
      <c r="E46" s="111">
        <v>43.8</v>
      </c>
      <c r="F46" s="110">
        <v>43.8</v>
      </c>
      <c r="G46" s="111">
        <v>43.8</v>
      </c>
      <c r="H46" s="110">
        <v>43.8</v>
      </c>
      <c r="I46" s="111">
        <v>43.8</v>
      </c>
      <c r="J46" s="110">
        <v>43.8</v>
      </c>
      <c r="K46" s="111">
        <v>43.8</v>
      </c>
      <c r="L46" s="56" t="s">
        <v>8</v>
      </c>
      <c r="M46" s="57" t="s">
        <v>243</v>
      </c>
      <c r="N46" s="56" t="s">
        <v>20</v>
      </c>
      <c r="O46" s="65" t="s">
        <v>254</v>
      </c>
    </row>
    <row r="47" spans="1:15" ht="15.75" thickBot="1">
      <c r="A47" s="64" t="s">
        <v>51</v>
      </c>
      <c r="B47" s="110">
        <v>342</v>
      </c>
      <c r="C47" s="111">
        <v>342</v>
      </c>
      <c r="D47" s="110">
        <v>342</v>
      </c>
      <c r="E47" s="111">
        <v>342</v>
      </c>
      <c r="F47" s="110">
        <v>285</v>
      </c>
      <c r="G47" s="111">
        <v>342</v>
      </c>
      <c r="H47" s="110">
        <v>342</v>
      </c>
      <c r="I47" s="111">
        <v>342</v>
      </c>
      <c r="J47" s="110">
        <v>342</v>
      </c>
      <c r="K47" s="111">
        <v>342</v>
      </c>
      <c r="L47" s="56" t="s">
        <v>8</v>
      </c>
      <c r="M47" s="57" t="s">
        <v>243</v>
      </c>
      <c r="N47" s="56" t="s">
        <v>20</v>
      </c>
      <c r="O47" s="65" t="s">
        <v>254</v>
      </c>
    </row>
    <row r="48" spans="1:15" ht="15.75" thickBot="1">
      <c r="A48" s="64" t="s">
        <v>53</v>
      </c>
      <c r="B48" s="110">
        <v>232</v>
      </c>
      <c r="C48" s="111">
        <v>232</v>
      </c>
      <c r="D48" s="110">
        <v>232</v>
      </c>
      <c r="E48" s="111">
        <v>232</v>
      </c>
      <c r="F48" s="110">
        <v>232</v>
      </c>
      <c r="G48" s="111">
        <v>232</v>
      </c>
      <c r="H48" s="110">
        <v>232</v>
      </c>
      <c r="I48" s="111">
        <v>232</v>
      </c>
      <c r="J48" s="110">
        <v>232</v>
      </c>
      <c r="K48" s="111">
        <v>232</v>
      </c>
      <c r="L48" s="56" t="s">
        <v>8</v>
      </c>
      <c r="M48" s="57" t="s">
        <v>243</v>
      </c>
      <c r="N48" s="56" t="s">
        <v>20</v>
      </c>
      <c r="O48" s="65" t="s">
        <v>254</v>
      </c>
    </row>
    <row r="49" spans="1:23" ht="15.75" thickBot="1">
      <c r="A49" s="64" t="s">
        <v>55</v>
      </c>
      <c r="B49" s="110">
        <v>0</v>
      </c>
      <c r="C49" s="111">
        <v>0</v>
      </c>
      <c r="D49" s="110">
        <v>0</v>
      </c>
      <c r="E49" s="111">
        <v>0</v>
      </c>
      <c r="F49" s="110">
        <v>0</v>
      </c>
      <c r="G49" s="111">
        <v>0</v>
      </c>
      <c r="H49" s="110">
        <v>0</v>
      </c>
      <c r="I49" s="111">
        <v>0</v>
      </c>
      <c r="J49" s="110">
        <v>0</v>
      </c>
      <c r="K49" s="111">
        <v>0</v>
      </c>
      <c r="L49" s="56" t="s">
        <v>8</v>
      </c>
      <c r="M49" s="57" t="s">
        <v>245</v>
      </c>
      <c r="N49" s="56" t="s">
        <v>20</v>
      </c>
      <c r="O49" s="65" t="s">
        <v>254</v>
      </c>
    </row>
    <row r="50" spans="1:23" ht="15.75" thickBot="1">
      <c r="A50" s="64" t="s">
        <v>57</v>
      </c>
      <c r="B50" s="110">
        <v>58</v>
      </c>
      <c r="C50" s="111">
        <v>58</v>
      </c>
      <c r="D50" s="110">
        <v>58</v>
      </c>
      <c r="E50" s="111">
        <v>58</v>
      </c>
      <c r="F50" s="110">
        <v>58</v>
      </c>
      <c r="G50" s="111">
        <v>58</v>
      </c>
      <c r="H50" s="110">
        <v>58</v>
      </c>
      <c r="I50" s="111">
        <v>58</v>
      </c>
      <c r="J50" s="110">
        <v>58</v>
      </c>
      <c r="K50" s="111">
        <v>58</v>
      </c>
      <c r="L50" s="56" t="s">
        <v>8</v>
      </c>
      <c r="M50" s="57" t="s">
        <v>245</v>
      </c>
      <c r="N50" s="56" t="s">
        <v>20</v>
      </c>
      <c r="O50" s="65" t="s">
        <v>254</v>
      </c>
    </row>
    <row r="51" spans="1:23" ht="15.75" thickBot="1">
      <c r="A51" s="64" t="s">
        <v>59</v>
      </c>
      <c r="B51" s="110">
        <v>90</v>
      </c>
      <c r="C51" s="111">
        <v>90</v>
      </c>
      <c r="D51" s="110">
        <v>90</v>
      </c>
      <c r="E51" s="111">
        <v>75</v>
      </c>
      <c r="F51" s="110">
        <v>75</v>
      </c>
      <c r="G51" s="111">
        <v>75</v>
      </c>
      <c r="H51" s="110">
        <v>90</v>
      </c>
      <c r="I51" s="111">
        <v>90</v>
      </c>
      <c r="J51" s="110">
        <v>90</v>
      </c>
      <c r="K51" s="111">
        <v>90</v>
      </c>
      <c r="L51" s="56" t="s">
        <v>8</v>
      </c>
      <c r="M51" s="57" t="s">
        <v>243</v>
      </c>
      <c r="N51" s="56" t="s">
        <v>20</v>
      </c>
      <c r="O51" s="65" t="s">
        <v>254</v>
      </c>
    </row>
    <row r="52" spans="1:23" ht="15.75" thickBot="1">
      <c r="A52" s="64" t="s">
        <v>61</v>
      </c>
      <c r="B52" s="110">
        <v>102.8</v>
      </c>
      <c r="C52" s="111">
        <v>102.8</v>
      </c>
      <c r="D52" s="110">
        <v>102.8</v>
      </c>
      <c r="E52" s="111">
        <v>102.8</v>
      </c>
      <c r="F52" s="110">
        <v>102.8</v>
      </c>
      <c r="G52" s="111">
        <v>102.8</v>
      </c>
      <c r="H52" s="110">
        <v>102.8</v>
      </c>
      <c r="I52" s="111">
        <v>102.8</v>
      </c>
      <c r="J52" s="110">
        <v>102.8</v>
      </c>
      <c r="K52" s="111">
        <v>102.8</v>
      </c>
      <c r="L52" s="56" t="s">
        <v>8</v>
      </c>
      <c r="M52" s="57" t="s">
        <v>243</v>
      </c>
      <c r="N52" s="56" t="s">
        <v>20</v>
      </c>
      <c r="O52" s="65" t="s">
        <v>254</v>
      </c>
    </row>
    <row r="53" spans="1:23" ht="15.75" thickBot="1">
      <c r="A53" s="64" t="s">
        <v>63</v>
      </c>
      <c r="B53" s="110">
        <v>88</v>
      </c>
      <c r="C53" s="111">
        <v>88</v>
      </c>
      <c r="D53" s="110">
        <v>88</v>
      </c>
      <c r="E53" s="111">
        <v>88</v>
      </c>
      <c r="F53" s="110">
        <v>88</v>
      </c>
      <c r="G53" s="111">
        <v>88</v>
      </c>
      <c r="H53" s="110">
        <v>88</v>
      </c>
      <c r="I53" s="111">
        <v>88</v>
      </c>
      <c r="J53" s="110">
        <v>88</v>
      </c>
      <c r="K53" s="111">
        <v>88</v>
      </c>
      <c r="L53" s="56" t="s">
        <v>8</v>
      </c>
      <c r="M53" s="57" t="s">
        <v>243</v>
      </c>
      <c r="N53" s="56" t="s">
        <v>20</v>
      </c>
      <c r="O53" s="65" t="s">
        <v>254</v>
      </c>
    </row>
    <row r="54" spans="1:23">
      <c r="A54" s="69" t="s">
        <v>65</v>
      </c>
      <c r="B54" s="112">
        <v>130.5</v>
      </c>
      <c r="C54" s="113">
        <v>130.5</v>
      </c>
      <c r="D54" s="112">
        <v>130.5</v>
      </c>
      <c r="E54" s="113">
        <v>130.5</v>
      </c>
      <c r="F54" s="112">
        <v>130.5</v>
      </c>
      <c r="G54" s="113">
        <v>130.5</v>
      </c>
      <c r="H54" s="112">
        <v>130.5</v>
      </c>
      <c r="I54" s="113">
        <v>130.5</v>
      </c>
      <c r="J54" s="112">
        <v>130.5</v>
      </c>
      <c r="K54" s="113">
        <v>130.5</v>
      </c>
      <c r="L54" s="70" t="s">
        <v>8</v>
      </c>
      <c r="M54" s="71" t="s">
        <v>243</v>
      </c>
      <c r="N54" s="70" t="s">
        <v>20</v>
      </c>
      <c r="O54" s="72" t="s">
        <v>254</v>
      </c>
    </row>
    <row r="55" spans="1:23" ht="15.75" thickBot="1">
      <c r="B55" s="108"/>
      <c r="C55" s="108"/>
      <c r="D55" s="108"/>
      <c r="E55" s="108"/>
      <c r="F55" s="108"/>
      <c r="G55" s="108"/>
      <c r="H55" s="108"/>
      <c r="I55" s="108"/>
      <c r="J55" s="108"/>
      <c r="K55" s="108"/>
      <c r="P55" s="55"/>
      <c r="Q55" s="55"/>
      <c r="R55" s="55"/>
      <c r="S55" s="55"/>
      <c r="T55" s="55"/>
      <c r="U55" s="55"/>
      <c r="V55" s="55"/>
      <c r="W55" s="55"/>
    </row>
    <row r="56" spans="1:23" ht="15.75" thickBot="1">
      <c r="A56" s="3" t="s">
        <v>250</v>
      </c>
      <c r="B56" s="109">
        <f>SUMIF(wincapsSStable[[FuelType]:[FuelType]],"Wind",wincapsSStable[2019]) * 0.073</f>
        <v>12.263999999999999</v>
      </c>
      <c r="C56" s="109">
        <f>SUMIF(wincapsSStable[[FuelType]:[FuelType]],"Wind",wincapsSStable[2020]) * 0.073</f>
        <v>30.922799999999999</v>
      </c>
      <c r="D56" s="109">
        <f>SUMIF(wincapsSStable[[FuelType]:[FuelType]],"Wind",wincapsSStable[2021]) * 0.073</f>
        <v>30.922799999999999</v>
      </c>
      <c r="E56" s="109">
        <f>SUMIF(wincapsSStable[[FuelType]:[FuelType]],"Wind",wincapsSStable[2022]) * 0.073</f>
        <v>30.922799999999999</v>
      </c>
      <c r="F56" s="109">
        <f>SUMIF(wincapsSStable[[FuelType]:[FuelType]],"Wind",wincapsSStable[2023]) * 0.073</f>
        <v>30.922799999999999</v>
      </c>
      <c r="G56" s="109">
        <f>SUMIF(wincapsSStable[[FuelType]:[FuelType]],"Wind",wincapsSStable[2024]) * 0.073</f>
        <v>30.922799999999999</v>
      </c>
      <c r="H56" s="109">
        <f>SUMIF(wincapsSStable[[FuelType]:[FuelType]],"Wind",wincapsSStable[2025]) * 0.073</f>
        <v>30.922799999999999</v>
      </c>
      <c r="I56" s="109">
        <f>SUMIF(wincapsSStable[[FuelType]:[FuelType]],"Wind",wincapsSStable[2026]) * 0.073</f>
        <v>30.922799999999999</v>
      </c>
      <c r="J56" s="109">
        <f>SUMIF(wincapsSStable[[FuelType]:[FuelType]],"Wind",wincapsSStable[2027]) * 0.073</f>
        <v>30.922799999999999</v>
      </c>
      <c r="K56" s="109">
        <f>SUMIF(wincapsSStable[[FuelType]:[FuelType]],"Wind",wincapsSStable[2028]) * 0.073</f>
        <v>30.922799999999999</v>
      </c>
      <c r="L56" s="56" t="s">
        <v>12</v>
      </c>
      <c r="M56" s="55"/>
      <c r="N56" s="55"/>
      <c r="O56" s="55"/>
      <c r="P56" s="55"/>
      <c r="Q56" s="55"/>
      <c r="R56" s="55"/>
      <c r="S56" s="55"/>
      <c r="T56" s="55"/>
      <c r="U56" s="55"/>
      <c r="V56" s="55"/>
      <c r="W56" s="55"/>
    </row>
    <row r="57" spans="1:23" ht="15.75" thickBot="1">
      <c r="A57" s="58" t="s">
        <v>67</v>
      </c>
      <c r="B57" s="109">
        <f>SUM(wincapsStable[2019])+B56</f>
        <v>2340.864</v>
      </c>
      <c r="C57" s="109">
        <f>SUM(wincapsStable[2020])+C56</f>
        <v>2359.5227999999997</v>
      </c>
      <c r="D57" s="109">
        <f>SUM(wincapsStable[2021])+D56</f>
        <v>2389.5227999999997</v>
      </c>
      <c r="E57" s="109">
        <f>SUM(wincapsStable[2022])+E56</f>
        <v>2374.5227999999997</v>
      </c>
      <c r="F57" s="109">
        <f>SUM(wincapsStable[2023])+F56</f>
        <v>2317.5227999999997</v>
      </c>
      <c r="G57" s="109">
        <f>SUM(wincapsStable[2024])+G56</f>
        <v>2344.5227999999997</v>
      </c>
      <c r="H57" s="109">
        <f>SUM(wincapsStable[2025])+H56</f>
        <v>2249.5227999999997</v>
      </c>
      <c r="I57" s="109">
        <f>SUM(wincapsStable[2026])+I56</f>
        <v>2389.5227999999997</v>
      </c>
      <c r="J57" s="109">
        <f>SUM(wincapsStable[2027])+J56</f>
        <v>2389.5227999999997</v>
      </c>
      <c r="K57" s="109">
        <f>SUM(wincapsStable[2028])+K56</f>
        <v>2389.5227999999997</v>
      </c>
      <c r="L57" s="59"/>
      <c r="M57" s="55"/>
      <c r="N57" s="55"/>
      <c r="O57" s="55"/>
      <c r="P57" s="55"/>
      <c r="Q57" s="55"/>
      <c r="R57" s="55"/>
      <c r="S57" s="55"/>
      <c r="T57" s="55"/>
      <c r="U57" s="55"/>
      <c r="V57" s="55"/>
      <c r="W57" s="55"/>
    </row>
    <row r="58" spans="1:23" ht="15.75" thickBot="1">
      <c r="B58" s="62"/>
      <c r="C58" s="62"/>
      <c r="D58" s="62"/>
      <c r="E58" s="62"/>
      <c r="F58" s="62"/>
      <c r="G58" s="62"/>
      <c r="H58" s="62"/>
      <c r="I58" s="62"/>
      <c r="J58" s="62"/>
      <c r="K58" s="62"/>
      <c r="M58" s="55"/>
      <c r="N58" s="55"/>
      <c r="O58" s="55"/>
      <c r="P58" s="55"/>
      <c r="Q58" s="55"/>
      <c r="R58" s="55"/>
      <c r="S58" s="55"/>
      <c r="T58" s="55"/>
      <c r="U58" s="55"/>
      <c r="V58" s="55"/>
      <c r="W58" s="55"/>
    </row>
    <row r="59" spans="1:23" s="63" customFormat="1" ht="20.25" thickBot="1">
      <c r="A59" s="61" t="s">
        <v>258</v>
      </c>
      <c r="B59" s="30"/>
      <c r="C59" s="30"/>
      <c r="D59" s="30"/>
      <c r="E59" s="30"/>
      <c r="F59" s="30"/>
      <c r="G59" s="30"/>
      <c r="H59" s="30"/>
      <c r="I59" s="30"/>
      <c r="J59" s="30"/>
      <c r="K59" s="30"/>
      <c r="L59" s="30"/>
      <c r="M59" s="55"/>
      <c r="N59" s="55"/>
      <c r="O59" s="55"/>
    </row>
    <row r="60" spans="1:23" ht="15.75" thickBot="1">
      <c r="A60" s="99" t="s">
        <v>240</v>
      </c>
      <c r="B60" s="99" t="s">
        <v>276</v>
      </c>
      <c r="C60" s="99" t="s">
        <v>277</v>
      </c>
      <c r="D60" s="99" t="s">
        <v>278</v>
      </c>
      <c r="E60" s="99" t="s">
        <v>279</v>
      </c>
      <c r="F60" s="99" t="s">
        <v>280</v>
      </c>
      <c r="G60" s="99" t="s">
        <v>281</v>
      </c>
      <c r="H60" s="99" t="s">
        <v>282</v>
      </c>
      <c r="I60" s="99" t="s">
        <v>283</v>
      </c>
      <c r="J60" s="99" t="s">
        <v>284</v>
      </c>
      <c r="K60" s="99" t="s">
        <v>285</v>
      </c>
      <c r="L60" s="99" t="s">
        <v>275</v>
      </c>
      <c r="M60" s="67" t="s">
        <v>241</v>
      </c>
      <c r="N60" s="67" t="s">
        <v>7</v>
      </c>
      <c r="O60" s="68" t="s">
        <v>242</v>
      </c>
    </row>
    <row r="61" spans="1:23" ht="15.75" thickBot="1">
      <c r="A61" s="78" t="s">
        <v>337</v>
      </c>
      <c r="B61" s="102">
        <v>0</v>
      </c>
      <c r="C61" s="103">
        <v>111.6</v>
      </c>
      <c r="D61" s="102">
        <v>111.6</v>
      </c>
      <c r="E61" s="103">
        <v>111.6</v>
      </c>
      <c r="F61" s="102">
        <v>111.6</v>
      </c>
      <c r="G61" s="103">
        <v>111.6</v>
      </c>
      <c r="H61" s="102">
        <v>111.6</v>
      </c>
      <c r="I61" s="103">
        <v>111.6</v>
      </c>
      <c r="J61" s="102">
        <v>111.6</v>
      </c>
      <c r="K61" s="103">
        <v>111.6</v>
      </c>
      <c r="L61" s="75" t="s">
        <v>12</v>
      </c>
      <c r="M61" s="21" t="s">
        <v>11</v>
      </c>
      <c r="N61" s="75" t="s">
        <v>20</v>
      </c>
      <c r="O61" s="81" t="s">
        <v>254</v>
      </c>
    </row>
    <row r="62" spans="1:23" ht="15.75" thickBot="1">
      <c r="A62" s="77" t="s">
        <v>324</v>
      </c>
      <c r="B62" s="104">
        <v>168</v>
      </c>
      <c r="C62" s="105">
        <v>168</v>
      </c>
      <c r="D62" s="104">
        <v>168</v>
      </c>
      <c r="E62" s="105">
        <v>168</v>
      </c>
      <c r="F62" s="104">
        <v>168</v>
      </c>
      <c r="G62" s="105">
        <v>168</v>
      </c>
      <c r="H62" s="104">
        <v>168</v>
      </c>
      <c r="I62" s="105">
        <v>168</v>
      </c>
      <c r="J62" s="104">
        <v>168</v>
      </c>
      <c r="K62" s="105">
        <v>168</v>
      </c>
      <c r="L62" s="74" t="s">
        <v>12</v>
      </c>
      <c r="M62" s="20" t="s">
        <v>11</v>
      </c>
      <c r="N62" s="74" t="s">
        <v>20</v>
      </c>
      <c r="O62" s="80" t="s">
        <v>254</v>
      </c>
    </row>
    <row r="63" spans="1:23">
      <c r="A63" s="79" t="s">
        <v>108</v>
      </c>
      <c r="B63" s="106">
        <v>0</v>
      </c>
      <c r="C63" s="107">
        <v>144</v>
      </c>
      <c r="D63" s="106">
        <v>144</v>
      </c>
      <c r="E63" s="107">
        <v>144</v>
      </c>
      <c r="F63" s="106">
        <v>144</v>
      </c>
      <c r="G63" s="107">
        <v>144</v>
      </c>
      <c r="H63" s="106">
        <v>144</v>
      </c>
      <c r="I63" s="107">
        <v>144</v>
      </c>
      <c r="J63" s="106">
        <v>144</v>
      </c>
      <c r="K63" s="107">
        <v>144</v>
      </c>
      <c r="L63" s="76" t="s">
        <v>12</v>
      </c>
      <c r="M63" s="54" t="s">
        <v>11</v>
      </c>
      <c r="N63" s="76" t="s">
        <v>20</v>
      </c>
      <c r="O63" s="82" t="s">
        <v>254</v>
      </c>
      <c r="P63" s="55"/>
      <c r="Q63" s="55"/>
      <c r="R63" s="55"/>
      <c r="S63" s="55"/>
      <c r="T63" s="55"/>
      <c r="U63" s="55"/>
      <c r="V63" s="55"/>
      <c r="W63" s="55"/>
    </row>
    <row r="64" spans="1:23" ht="15.75" thickBot="1">
      <c r="B64" s="108"/>
      <c r="C64" s="108"/>
      <c r="D64" s="108"/>
      <c r="E64" s="108"/>
      <c r="F64" s="108"/>
      <c r="G64" s="108"/>
      <c r="H64" s="108"/>
      <c r="I64" s="108"/>
      <c r="J64" s="108"/>
      <c r="K64" s="108"/>
    </row>
    <row r="65" spans="1:15" ht="15.75" thickBot="1">
      <c r="A65" s="58" t="s">
        <v>252</v>
      </c>
      <c r="B65" s="109">
        <f>SUMIF(wincapsSStable[[FuelType]:[FuelType]],"Wind",wincapsSStable[2019])</f>
        <v>168</v>
      </c>
      <c r="C65" s="109">
        <f>SUMIF(wincapsSStable[[FuelType]:[FuelType]],"Wind",wincapsSStable[2020])</f>
        <v>423.6</v>
      </c>
      <c r="D65" s="109">
        <f>SUMIF(wincapsSStable[[FuelType]:[FuelType]],"Wind",wincapsSStable[2021])</f>
        <v>423.6</v>
      </c>
      <c r="E65" s="109">
        <f>SUMIF(wincapsSStable[[FuelType]:[FuelType]],"Wind",wincapsSStable[2022])</f>
        <v>423.6</v>
      </c>
      <c r="F65" s="109">
        <f>SUMIF(wincapsSStable[[FuelType]:[FuelType]],"Wind",wincapsSStable[2023])</f>
        <v>423.6</v>
      </c>
      <c r="G65" s="109">
        <f>SUMIF(wincapsSStable[[FuelType]:[FuelType]],"Wind",wincapsSStable[2024])</f>
        <v>423.6</v>
      </c>
      <c r="H65" s="109">
        <f>SUMIF(wincapsSStable[[FuelType]:[FuelType]],"Wind",wincapsSStable[2025])</f>
        <v>423.6</v>
      </c>
      <c r="I65" s="109">
        <f>SUMIF(wincapsSStable[[FuelType]:[FuelType]],"Wind",wincapsSStable[2026])</f>
        <v>423.6</v>
      </c>
      <c r="J65" s="109">
        <f>SUMIF(wincapsSStable[[FuelType]:[FuelType]],"Wind",wincapsSStable[2027])</f>
        <v>423.6</v>
      </c>
      <c r="K65" s="109">
        <f>SUMIF(wincapsSStable[[FuelType]:[FuelType]],"Wind",wincapsSStable[2028])</f>
        <v>423.6</v>
      </c>
      <c r="L65" s="59"/>
      <c r="M65" s="55"/>
      <c r="N65" s="55"/>
      <c r="O65" s="55"/>
    </row>
  </sheetData>
  <mergeCells count="4">
    <mergeCell ref="A29:L29"/>
    <mergeCell ref="A30:L30"/>
    <mergeCell ref="A31:L31"/>
    <mergeCell ref="P30:W31"/>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9"/>
  <sheetViews>
    <sheetView workbookViewId="0"/>
  </sheetViews>
  <sheetFormatPr defaultColWidth="9.140625" defaultRowHeight="15"/>
  <cols>
    <col min="1" max="1" width="26.42578125" style="30" bestFit="1" customWidth="1"/>
    <col min="2" max="2" width="26.85546875" style="30" bestFit="1" customWidth="1"/>
    <col min="3" max="3" width="25.5703125" style="30" bestFit="1" customWidth="1"/>
    <col min="4" max="4" width="26" style="30" bestFit="1" customWidth="1"/>
    <col min="5" max="5" width="22" style="30" bestFit="1" customWidth="1"/>
    <col min="6" max="6" width="16.85546875" style="30" bestFit="1" customWidth="1"/>
    <col min="7" max="7" width="11" style="30" hidden="1" customWidth="1"/>
    <col min="8" max="8" width="19.5703125" style="30" hidden="1" customWidth="1"/>
    <col min="9" max="9" width="26.85546875" style="98" hidden="1" customWidth="1"/>
    <col min="10" max="10" width="26.85546875" style="30" hidden="1" customWidth="1"/>
    <col min="11" max="16384" width="9.140625" style="30"/>
  </cols>
  <sheetData>
    <row r="1" spans="1:9" ht="20.25" thickBot="1">
      <c r="A1" s="61" t="s">
        <v>70</v>
      </c>
    </row>
    <row r="2" spans="1:9" ht="15.75" thickBot="1">
      <c r="A2" s="60" t="s">
        <v>1</v>
      </c>
      <c r="B2" s="60" t="s">
        <v>2</v>
      </c>
      <c r="C2" s="60" t="s">
        <v>71</v>
      </c>
      <c r="D2" s="60" t="s">
        <v>3</v>
      </c>
      <c r="E2" s="60" t="s">
        <v>4</v>
      </c>
      <c r="F2" s="60" t="s">
        <v>6</v>
      </c>
      <c r="G2" s="2" t="s">
        <v>7</v>
      </c>
      <c r="H2" s="2" t="s">
        <v>128</v>
      </c>
      <c r="I2" s="2" t="s">
        <v>124</v>
      </c>
    </row>
    <row r="3" spans="1:9" ht="15.75" thickBot="1">
      <c r="A3" s="17" t="s">
        <v>286</v>
      </c>
      <c r="B3" s="13" t="s">
        <v>287</v>
      </c>
      <c r="C3" s="21">
        <v>64.75</v>
      </c>
      <c r="D3" s="13" t="s">
        <v>10</v>
      </c>
      <c r="E3" s="21" t="s">
        <v>11</v>
      </c>
      <c r="F3" s="13" t="s">
        <v>72</v>
      </c>
      <c r="G3" s="21" t="s">
        <v>20</v>
      </c>
      <c r="H3" s="13" t="s">
        <v>11</v>
      </c>
      <c r="I3" s="21" t="s">
        <v>119</v>
      </c>
    </row>
    <row r="4" spans="1:9" ht="15.75" thickBot="1">
      <c r="A4" s="16" t="s">
        <v>75</v>
      </c>
      <c r="B4" s="12" t="s">
        <v>17</v>
      </c>
      <c r="C4" s="20">
        <v>14.4</v>
      </c>
      <c r="D4" s="12" t="s">
        <v>19</v>
      </c>
      <c r="E4" s="20" t="s">
        <v>15</v>
      </c>
      <c r="F4" s="13" t="s">
        <v>72</v>
      </c>
      <c r="G4" s="20" t="s">
        <v>20</v>
      </c>
      <c r="H4" s="12" t="s">
        <v>15</v>
      </c>
      <c r="I4" s="20" t="s">
        <v>119</v>
      </c>
    </row>
    <row r="5" spans="1:9" ht="15.75" thickBot="1">
      <c r="A5" s="16" t="s">
        <v>76</v>
      </c>
      <c r="B5" s="12" t="s">
        <v>17</v>
      </c>
      <c r="C5" s="20">
        <v>17</v>
      </c>
      <c r="D5" s="12" t="s">
        <v>19</v>
      </c>
      <c r="E5" s="20" t="s">
        <v>15</v>
      </c>
      <c r="F5" s="13" t="s">
        <v>72</v>
      </c>
      <c r="G5" s="20" t="s">
        <v>20</v>
      </c>
      <c r="H5" s="12" t="s">
        <v>15</v>
      </c>
      <c r="I5" s="20" t="s">
        <v>119</v>
      </c>
    </row>
    <row r="6" spans="1:9" ht="15.75" thickBot="1">
      <c r="A6" s="16" t="s">
        <v>77</v>
      </c>
      <c r="B6" s="12" t="s">
        <v>24</v>
      </c>
      <c r="C6" s="20">
        <v>1.69</v>
      </c>
      <c r="D6" s="12" t="s">
        <v>261</v>
      </c>
      <c r="E6" s="20" t="s">
        <v>74</v>
      </c>
      <c r="F6" s="13" t="s">
        <v>72</v>
      </c>
      <c r="G6" s="20" t="s">
        <v>20</v>
      </c>
      <c r="H6" s="12" t="s">
        <v>116</v>
      </c>
      <c r="I6" s="20" t="s">
        <v>119</v>
      </c>
    </row>
    <row r="7" spans="1:9" ht="15.75" thickBot="1">
      <c r="A7" s="16" t="s">
        <v>78</v>
      </c>
      <c r="B7" s="12" t="s">
        <v>24</v>
      </c>
      <c r="C7" s="20">
        <v>1</v>
      </c>
      <c r="D7" s="12" t="s">
        <v>261</v>
      </c>
      <c r="E7" s="20" t="s">
        <v>74</v>
      </c>
      <c r="F7" s="13" t="s">
        <v>72</v>
      </c>
      <c r="G7" s="20" t="s">
        <v>20</v>
      </c>
      <c r="H7" s="12" t="s">
        <v>116</v>
      </c>
      <c r="I7" s="20" t="s">
        <v>119</v>
      </c>
    </row>
    <row r="8" spans="1:9" ht="15.75" thickBot="1">
      <c r="A8" s="16" t="s">
        <v>79</v>
      </c>
      <c r="B8" s="12" t="s">
        <v>17</v>
      </c>
      <c r="C8" s="20">
        <v>8.4</v>
      </c>
      <c r="D8" s="12" t="s">
        <v>19</v>
      </c>
      <c r="E8" s="20" t="s">
        <v>15</v>
      </c>
      <c r="F8" s="13" t="s">
        <v>72</v>
      </c>
      <c r="G8" s="20" t="s">
        <v>20</v>
      </c>
      <c r="H8" s="12" t="s">
        <v>15</v>
      </c>
      <c r="I8" s="20" t="s">
        <v>119</v>
      </c>
    </row>
    <row r="9" spans="1:9" ht="15.75" thickBot="1">
      <c r="A9" s="16" t="s">
        <v>80</v>
      </c>
      <c r="B9" s="12" t="s">
        <v>17</v>
      </c>
      <c r="C9" s="20">
        <v>3.2</v>
      </c>
      <c r="D9" s="12" t="s">
        <v>19</v>
      </c>
      <c r="E9" s="20" t="s">
        <v>15</v>
      </c>
      <c r="F9" s="13" t="s">
        <v>72</v>
      </c>
      <c r="G9" s="20" t="s">
        <v>20</v>
      </c>
      <c r="H9" s="12" t="s">
        <v>15</v>
      </c>
      <c r="I9" s="20" t="s">
        <v>119</v>
      </c>
    </row>
    <row r="10" spans="1:9" ht="15.75" thickBot="1">
      <c r="A10" s="16" t="s">
        <v>325</v>
      </c>
      <c r="B10" s="12" t="s">
        <v>92</v>
      </c>
      <c r="C10" s="20">
        <v>6</v>
      </c>
      <c r="D10" s="12" t="s">
        <v>19</v>
      </c>
      <c r="E10" s="20" t="s">
        <v>15</v>
      </c>
      <c r="F10" s="13" t="s">
        <v>72</v>
      </c>
      <c r="G10" s="20" t="s">
        <v>20</v>
      </c>
      <c r="H10" s="12" t="s">
        <v>15</v>
      </c>
      <c r="I10" s="20" t="s">
        <v>119</v>
      </c>
    </row>
    <row r="11" spans="1:9" ht="15.75" thickBot="1">
      <c r="A11" s="16" t="s">
        <v>81</v>
      </c>
      <c r="B11" s="12" t="s">
        <v>17</v>
      </c>
      <c r="C11" s="20">
        <v>28</v>
      </c>
      <c r="D11" s="12" t="s">
        <v>19</v>
      </c>
      <c r="E11" s="20" t="s">
        <v>15</v>
      </c>
      <c r="F11" s="13" t="s">
        <v>72</v>
      </c>
      <c r="G11" s="20" t="s">
        <v>20</v>
      </c>
      <c r="H11" s="12" t="s">
        <v>15</v>
      </c>
      <c r="I11" s="20" t="s">
        <v>119</v>
      </c>
    </row>
    <row r="12" spans="1:9" ht="15.75" thickBot="1">
      <c r="A12" s="16" t="s">
        <v>82</v>
      </c>
      <c r="B12" s="12" t="s">
        <v>73</v>
      </c>
      <c r="C12" s="20">
        <v>2.246</v>
      </c>
      <c r="D12" s="12" t="s">
        <v>261</v>
      </c>
      <c r="E12" s="20" t="s">
        <v>74</v>
      </c>
      <c r="F12" s="13" t="s">
        <v>72</v>
      </c>
      <c r="G12" s="20" t="s">
        <v>20</v>
      </c>
      <c r="H12" s="12" t="s">
        <v>116</v>
      </c>
      <c r="I12" s="20" t="s">
        <v>119</v>
      </c>
    </row>
    <row r="13" spans="1:9" ht="15.75" thickBot="1">
      <c r="A13" s="16" t="s">
        <v>83</v>
      </c>
      <c r="B13" s="12" t="s">
        <v>17</v>
      </c>
      <c r="C13" s="20">
        <v>28</v>
      </c>
      <c r="D13" s="12" t="s">
        <v>19</v>
      </c>
      <c r="E13" s="20" t="s">
        <v>15</v>
      </c>
      <c r="F13" s="13" t="s">
        <v>72</v>
      </c>
      <c r="G13" s="20" t="s">
        <v>20</v>
      </c>
      <c r="H13" s="12" t="s">
        <v>15</v>
      </c>
      <c r="I13" s="20" t="s">
        <v>119</v>
      </c>
    </row>
    <row r="14" spans="1:9" ht="15.75" thickBot="1">
      <c r="A14" s="16" t="s">
        <v>84</v>
      </c>
      <c r="B14" s="12" t="s">
        <v>17</v>
      </c>
      <c r="C14" s="20">
        <v>10.5</v>
      </c>
      <c r="D14" s="12" t="s">
        <v>19</v>
      </c>
      <c r="E14" s="20" t="s">
        <v>15</v>
      </c>
      <c r="F14" s="13" t="s">
        <v>72</v>
      </c>
      <c r="G14" s="20" t="s">
        <v>20</v>
      </c>
      <c r="H14" s="12" t="s">
        <v>15</v>
      </c>
      <c r="I14" s="20" t="s">
        <v>119</v>
      </c>
    </row>
    <row r="15" spans="1:9" ht="15.75" thickBot="1">
      <c r="A15" s="16" t="s">
        <v>237</v>
      </c>
      <c r="B15" s="12" t="s">
        <v>92</v>
      </c>
      <c r="C15" s="20">
        <v>0.2646</v>
      </c>
      <c r="D15" s="12" t="s">
        <v>238</v>
      </c>
      <c r="E15" s="20" t="s">
        <v>25</v>
      </c>
      <c r="F15" s="13" t="s">
        <v>72</v>
      </c>
      <c r="G15" s="20" t="s">
        <v>20</v>
      </c>
      <c r="H15" s="12" t="s">
        <v>25</v>
      </c>
      <c r="I15" s="20" t="s">
        <v>119</v>
      </c>
    </row>
    <row r="16" spans="1:9" ht="15.75" thickBot="1">
      <c r="A16" s="16" t="s">
        <v>85</v>
      </c>
      <c r="B16" s="12" t="s">
        <v>17</v>
      </c>
      <c r="C16" s="20">
        <v>1.2</v>
      </c>
      <c r="D16" s="12" t="s">
        <v>38</v>
      </c>
      <c r="E16" s="20" t="s">
        <v>15</v>
      </c>
      <c r="F16" s="13" t="s">
        <v>72</v>
      </c>
      <c r="G16" s="20" t="s">
        <v>20</v>
      </c>
      <c r="H16" s="12" t="s">
        <v>15</v>
      </c>
      <c r="I16" s="20" t="s">
        <v>119</v>
      </c>
    </row>
    <row r="17" spans="1:9">
      <c r="A17" s="52" t="s">
        <v>86</v>
      </c>
      <c r="B17" s="53" t="s">
        <v>49</v>
      </c>
      <c r="C17" s="54">
        <v>140</v>
      </c>
      <c r="D17" s="53" t="s">
        <v>10</v>
      </c>
      <c r="E17" s="54" t="s">
        <v>11</v>
      </c>
      <c r="F17" s="141" t="s">
        <v>72</v>
      </c>
      <c r="G17" s="54" t="s">
        <v>20</v>
      </c>
      <c r="H17" s="53" t="s">
        <v>11</v>
      </c>
      <c r="I17" s="54" t="s">
        <v>119</v>
      </c>
    </row>
    <row r="18" spans="1:9" ht="15.75" thickBot="1"/>
    <row r="19" spans="1:9" ht="15.75" thickBot="1">
      <c r="A19" s="58" t="s">
        <v>67</v>
      </c>
      <c r="B19" s="121"/>
      <c r="C19" s="123">
        <f>SUM(existingnstable[Nameplate Capacity (MW)])</f>
        <v>326.6506</v>
      </c>
      <c r="D19" s="121"/>
      <c r="E19" s="122"/>
      <c r="F19" s="121"/>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O15"/>
  <sheetViews>
    <sheetView workbookViewId="0"/>
  </sheetViews>
  <sheetFormatPr defaultColWidth="9.140625" defaultRowHeight="15"/>
  <cols>
    <col min="1" max="1" width="22.28515625" style="30" bestFit="1" customWidth="1"/>
    <col min="2" max="2" width="62.140625" style="30" bestFit="1" customWidth="1"/>
    <col min="3" max="3" width="10.42578125" style="30" bestFit="1" customWidth="1"/>
    <col min="4" max="4" width="19.140625" style="30" bestFit="1" customWidth="1"/>
    <col min="5" max="5" width="13.140625" style="30" bestFit="1" customWidth="1"/>
    <col min="6" max="6" width="14.7109375" style="30" bestFit="1" customWidth="1"/>
    <col min="7" max="7" width="25.5703125" style="30" bestFit="1" customWidth="1"/>
    <col min="8" max="8" width="16.5703125" style="30" bestFit="1" customWidth="1"/>
    <col min="9" max="9" width="26" style="30" bestFit="1" customWidth="1"/>
    <col min="10" max="10" width="58" style="30" bestFit="1" customWidth="1"/>
    <col min="11" max="11" width="28.5703125" style="30" hidden="1" customWidth="1"/>
    <col min="12" max="12" width="17.85546875" style="30" hidden="1" customWidth="1"/>
    <col min="13" max="13" width="10.7109375" style="30" hidden="1" customWidth="1"/>
    <col min="14" max="14" width="19.5703125" style="30" hidden="1" customWidth="1"/>
    <col min="15" max="15" width="18" style="73" hidden="1" customWidth="1"/>
    <col min="16" max="16384" width="9.140625" style="30"/>
  </cols>
  <sheetData>
    <row r="1" spans="1:15" ht="20.25" thickBot="1">
      <c r="A1" s="61" t="s">
        <v>87</v>
      </c>
    </row>
    <row r="2" spans="1:15" ht="23.25" thickBot="1">
      <c r="A2" s="66" t="s">
        <v>88</v>
      </c>
      <c r="B2" s="67" t="s">
        <v>2</v>
      </c>
      <c r="C2" s="67" t="s">
        <v>89</v>
      </c>
      <c r="D2" s="67" t="s">
        <v>3</v>
      </c>
      <c r="E2" s="67" t="s">
        <v>4</v>
      </c>
      <c r="F2" s="67" t="s">
        <v>90</v>
      </c>
      <c r="G2" s="67" t="s">
        <v>71</v>
      </c>
      <c r="H2" s="67" t="s">
        <v>5</v>
      </c>
      <c r="I2" s="67" t="s">
        <v>91</v>
      </c>
      <c r="J2" s="67" t="s">
        <v>262</v>
      </c>
      <c r="K2" s="9" t="s">
        <v>124</v>
      </c>
      <c r="L2" s="9" t="s">
        <v>125</v>
      </c>
      <c r="M2" s="9" t="s">
        <v>126</v>
      </c>
      <c r="N2" s="9" t="s">
        <v>127</v>
      </c>
      <c r="O2" s="10" t="s">
        <v>128</v>
      </c>
    </row>
    <row r="3" spans="1:15" ht="15.75" thickBot="1">
      <c r="A3" s="89" t="s">
        <v>296</v>
      </c>
      <c r="B3" s="90" t="s">
        <v>297</v>
      </c>
      <c r="C3" s="91" t="s">
        <v>298</v>
      </c>
      <c r="D3" s="92" t="s">
        <v>38</v>
      </c>
      <c r="E3" s="91" t="s">
        <v>15</v>
      </c>
      <c r="F3" s="92" t="s">
        <v>129</v>
      </c>
      <c r="G3" s="91" t="s">
        <v>299</v>
      </c>
      <c r="H3" s="92" t="s">
        <v>8</v>
      </c>
      <c r="I3" s="91" t="s">
        <v>288</v>
      </c>
      <c r="J3" s="92" t="s">
        <v>268</v>
      </c>
      <c r="K3" s="14" t="s">
        <v>121</v>
      </c>
      <c r="L3" s="15">
        <v>300</v>
      </c>
      <c r="M3" s="14" t="s">
        <v>93</v>
      </c>
      <c r="N3" s="15" t="s">
        <v>20</v>
      </c>
      <c r="O3" s="14" t="s">
        <v>15</v>
      </c>
    </row>
    <row r="4" spans="1:15" ht="15.75" thickBot="1">
      <c r="A4" s="93" t="s">
        <v>300</v>
      </c>
      <c r="B4" s="94" t="s">
        <v>297</v>
      </c>
      <c r="C4" s="95" t="s">
        <v>298</v>
      </c>
      <c r="D4" s="96" t="s">
        <v>38</v>
      </c>
      <c r="E4" s="95" t="s">
        <v>15</v>
      </c>
      <c r="F4" s="96" t="s">
        <v>129</v>
      </c>
      <c r="G4" s="95" t="s">
        <v>301</v>
      </c>
      <c r="H4" s="96" t="s">
        <v>8</v>
      </c>
      <c r="I4" s="95" t="s">
        <v>288</v>
      </c>
      <c r="J4" s="92" t="s">
        <v>268</v>
      </c>
      <c r="K4" s="14" t="s">
        <v>121</v>
      </c>
      <c r="L4" s="15">
        <v>600</v>
      </c>
      <c r="M4" s="14" t="s">
        <v>93</v>
      </c>
      <c r="N4" s="15" t="s">
        <v>20</v>
      </c>
      <c r="O4" s="14" t="s">
        <v>15</v>
      </c>
    </row>
    <row r="5" spans="1:15" ht="15.75" thickBot="1">
      <c r="A5" s="93" t="s">
        <v>302</v>
      </c>
      <c r="B5" s="94" t="s">
        <v>297</v>
      </c>
      <c r="C5" s="95" t="s">
        <v>298</v>
      </c>
      <c r="D5" s="96" t="s">
        <v>38</v>
      </c>
      <c r="E5" s="95" t="s">
        <v>15</v>
      </c>
      <c r="F5" s="96" t="s">
        <v>129</v>
      </c>
      <c r="G5" s="95" t="s">
        <v>299</v>
      </c>
      <c r="H5" s="96" t="s">
        <v>8</v>
      </c>
      <c r="I5" s="95" t="s">
        <v>288</v>
      </c>
      <c r="J5" s="92" t="s">
        <v>268</v>
      </c>
      <c r="K5" s="14" t="s">
        <v>121</v>
      </c>
      <c r="L5" s="15">
        <v>300</v>
      </c>
      <c r="M5" s="14" t="s">
        <v>93</v>
      </c>
      <c r="N5" s="15" t="s">
        <v>20</v>
      </c>
      <c r="O5" s="14" t="s">
        <v>15</v>
      </c>
    </row>
    <row r="6" spans="1:15" ht="15.75" thickBot="1">
      <c r="A6" s="93" t="s">
        <v>303</v>
      </c>
      <c r="B6" s="94" t="s">
        <v>297</v>
      </c>
      <c r="C6" s="95" t="s">
        <v>298</v>
      </c>
      <c r="D6" s="96" t="s">
        <v>38</v>
      </c>
      <c r="E6" s="95" t="s">
        <v>15</v>
      </c>
      <c r="F6" s="96" t="s">
        <v>129</v>
      </c>
      <c r="G6" s="95" t="s">
        <v>304</v>
      </c>
      <c r="H6" s="96" t="s">
        <v>8</v>
      </c>
      <c r="I6" s="95" t="s">
        <v>288</v>
      </c>
      <c r="J6" s="92" t="s">
        <v>268</v>
      </c>
      <c r="K6" s="14" t="s">
        <v>121</v>
      </c>
      <c r="L6" s="15">
        <v>500</v>
      </c>
      <c r="M6" s="14" t="s">
        <v>93</v>
      </c>
      <c r="N6" s="15" t="s">
        <v>20</v>
      </c>
      <c r="O6" s="14" t="s">
        <v>15</v>
      </c>
    </row>
    <row r="7" spans="1:15" ht="15.75" thickBot="1">
      <c r="A7" s="93" t="s">
        <v>305</v>
      </c>
      <c r="B7" s="94" t="s">
        <v>297</v>
      </c>
      <c r="C7" s="95" t="s">
        <v>298</v>
      </c>
      <c r="D7" s="96" t="s">
        <v>38</v>
      </c>
      <c r="E7" s="95" t="s">
        <v>15</v>
      </c>
      <c r="F7" s="96" t="s">
        <v>129</v>
      </c>
      <c r="G7" s="95" t="s">
        <v>301</v>
      </c>
      <c r="H7" s="96" t="s">
        <v>8</v>
      </c>
      <c r="I7" s="95" t="s">
        <v>288</v>
      </c>
      <c r="J7" s="92" t="s">
        <v>268</v>
      </c>
      <c r="K7" s="14" t="s">
        <v>121</v>
      </c>
      <c r="L7" s="15">
        <v>600</v>
      </c>
      <c r="M7" s="14" t="s">
        <v>93</v>
      </c>
      <c r="N7" s="15" t="s">
        <v>20</v>
      </c>
      <c r="O7" s="14" t="s">
        <v>15</v>
      </c>
    </row>
    <row r="8" spans="1:15" ht="15.75" thickBot="1">
      <c r="A8" s="93" t="s">
        <v>132</v>
      </c>
      <c r="B8" s="94" t="s">
        <v>132</v>
      </c>
      <c r="C8" s="97" t="s">
        <v>68</v>
      </c>
      <c r="D8" s="96" t="s">
        <v>19</v>
      </c>
      <c r="E8" s="97" t="s">
        <v>15</v>
      </c>
      <c r="F8" s="96" t="s">
        <v>129</v>
      </c>
      <c r="G8" s="97" t="s">
        <v>69</v>
      </c>
      <c r="H8" s="96" t="s">
        <v>94</v>
      </c>
      <c r="I8" s="97" t="s">
        <v>288</v>
      </c>
      <c r="J8" s="92"/>
      <c r="K8" s="14" t="s">
        <v>121</v>
      </c>
      <c r="L8" s="15">
        <v>10</v>
      </c>
      <c r="M8" s="14" t="s">
        <v>93</v>
      </c>
      <c r="N8" s="15" t="s">
        <v>20</v>
      </c>
      <c r="O8" s="14" t="s">
        <v>15</v>
      </c>
    </row>
    <row r="9" spans="1:15" ht="15.75" thickBot="1">
      <c r="A9" s="93" t="s">
        <v>96</v>
      </c>
      <c r="B9" s="94" t="s">
        <v>294</v>
      </c>
      <c r="C9" s="97" t="s">
        <v>306</v>
      </c>
      <c r="D9" s="96" t="s">
        <v>30</v>
      </c>
      <c r="E9" s="97" t="s">
        <v>25</v>
      </c>
      <c r="F9" s="96" t="s">
        <v>129</v>
      </c>
      <c r="G9" s="97" t="s">
        <v>289</v>
      </c>
      <c r="H9" s="96" t="s">
        <v>94</v>
      </c>
      <c r="I9" s="97" t="s">
        <v>288</v>
      </c>
      <c r="J9" s="92" t="s">
        <v>263</v>
      </c>
      <c r="K9" s="14" t="s">
        <v>121</v>
      </c>
      <c r="L9" s="15">
        <v>5</v>
      </c>
      <c r="M9" s="14" t="s">
        <v>93</v>
      </c>
      <c r="N9" s="15" t="s">
        <v>20</v>
      </c>
      <c r="O9" s="14" t="s">
        <v>25</v>
      </c>
    </row>
    <row r="10" spans="1:15" ht="15.75" thickBot="1">
      <c r="A10" s="93" t="s">
        <v>98</v>
      </c>
      <c r="B10" s="94" t="s">
        <v>99</v>
      </c>
      <c r="C10" s="97" t="s">
        <v>97</v>
      </c>
      <c r="D10" s="96" t="s">
        <v>10</v>
      </c>
      <c r="E10" s="97" t="s">
        <v>11</v>
      </c>
      <c r="F10" s="96" t="s">
        <v>130</v>
      </c>
      <c r="G10" s="97" t="s">
        <v>100</v>
      </c>
      <c r="H10" s="96" t="s">
        <v>12</v>
      </c>
      <c r="I10" s="97" t="s">
        <v>267</v>
      </c>
      <c r="J10" s="92" t="s">
        <v>264</v>
      </c>
      <c r="K10" s="14" t="s">
        <v>120</v>
      </c>
      <c r="L10" s="15">
        <v>111.6</v>
      </c>
      <c r="M10" s="14" t="s">
        <v>93</v>
      </c>
      <c r="N10" s="15" t="s">
        <v>20</v>
      </c>
      <c r="O10" s="14" t="s">
        <v>11</v>
      </c>
    </row>
    <row r="11" spans="1:15" ht="15.75" thickBot="1">
      <c r="A11" s="93" t="s">
        <v>102</v>
      </c>
      <c r="B11" s="94" t="s">
        <v>103</v>
      </c>
      <c r="C11" s="97" t="s">
        <v>104</v>
      </c>
      <c r="D11" s="96" t="s">
        <v>10</v>
      </c>
      <c r="E11" s="97" t="s">
        <v>11</v>
      </c>
      <c r="F11" s="96" t="s">
        <v>129</v>
      </c>
      <c r="G11" s="97" t="s">
        <v>105</v>
      </c>
      <c r="H11" s="96" t="s">
        <v>94</v>
      </c>
      <c r="I11" s="97" t="s">
        <v>288</v>
      </c>
      <c r="J11" s="92"/>
      <c r="K11" s="14" t="s">
        <v>121</v>
      </c>
      <c r="L11" s="15">
        <v>42</v>
      </c>
      <c r="M11" s="14" t="s">
        <v>93</v>
      </c>
      <c r="N11" s="15" t="s">
        <v>20</v>
      </c>
      <c r="O11" s="14" t="s">
        <v>11</v>
      </c>
    </row>
    <row r="12" spans="1:15" ht="15.75" thickBot="1">
      <c r="A12" s="93" t="s">
        <v>290</v>
      </c>
      <c r="B12" s="94" t="s">
        <v>291</v>
      </c>
      <c r="C12" s="97" t="s">
        <v>92</v>
      </c>
      <c r="D12" s="96" t="s">
        <v>10</v>
      </c>
      <c r="E12" s="97" t="s">
        <v>11</v>
      </c>
      <c r="F12" s="96" t="s">
        <v>129</v>
      </c>
      <c r="G12" s="97" t="s">
        <v>292</v>
      </c>
      <c r="H12" s="96" t="s">
        <v>12</v>
      </c>
      <c r="I12" s="97" t="s">
        <v>288</v>
      </c>
      <c r="J12" s="92" t="s">
        <v>293</v>
      </c>
      <c r="K12" s="14" t="s">
        <v>121</v>
      </c>
      <c r="L12" s="15">
        <v>440</v>
      </c>
      <c r="M12" s="14" t="s">
        <v>93</v>
      </c>
      <c r="N12" s="15" t="s">
        <v>20</v>
      </c>
      <c r="O12" s="14" t="s">
        <v>11</v>
      </c>
    </row>
    <row r="13" spans="1:15" ht="15.75" thickBot="1">
      <c r="A13" s="93" t="s">
        <v>107</v>
      </c>
      <c r="B13" s="94" t="s">
        <v>294</v>
      </c>
      <c r="C13" s="97" t="s">
        <v>289</v>
      </c>
      <c r="D13" s="96" t="s">
        <v>30</v>
      </c>
      <c r="E13" s="97" t="s">
        <v>25</v>
      </c>
      <c r="F13" s="96" t="s">
        <v>129</v>
      </c>
      <c r="G13" s="97" t="s">
        <v>101</v>
      </c>
      <c r="H13" s="96" t="s">
        <v>12</v>
      </c>
      <c r="I13" s="97" t="s">
        <v>288</v>
      </c>
      <c r="J13" s="92" t="s">
        <v>265</v>
      </c>
      <c r="K13" s="14" t="s">
        <v>121</v>
      </c>
      <c r="L13" s="15">
        <v>12.5</v>
      </c>
      <c r="M13" s="14" t="s">
        <v>93</v>
      </c>
      <c r="N13" s="15" t="s">
        <v>20</v>
      </c>
      <c r="O13" s="14" t="s">
        <v>25</v>
      </c>
    </row>
    <row r="14" spans="1:15" ht="15.75" thickBot="1">
      <c r="A14" s="93" t="s">
        <v>259</v>
      </c>
      <c r="B14" s="94" t="s">
        <v>294</v>
      </c>
      <c r="C14" s="97" t="s">
        <v>260</v>
      </c>
      <c r="D14" s="96" t="s">
        <v>92</v>
      </c>
      <c r="E14" s="97" t="s">
        <v>11</v>
      </c>
      <c r="F14" s="96" t="s">
        <v>129</v>
      </c>
      <c r="G14" s="97" t="s">
        <v>295</v>
      </c>
      <c r="H14" s="96" t="s">
        <v>12</v>
      </c>
      <c r="I14" s="97" t="s">
        <v>288</v>
      </c>
      <c r="J14" s="92" t="s">
        <v>266</v>
      </c>
      <c r="K14" s="14" t="s">
        <v>121</v>
      </c>
      <c r="L14" s="15">
        <v>60</v>
      </c>
      <c r="M14" s="14" t="s">
        <v>93</v>
      </c>
      <c r="N14" s="15" t="s">
        <v>20</v>
      </c>
      <c r="O14" s="14" t="s">
        <v>11</v>
      </c>
    </row>
    <row r="15" spans="1:15">
      <c r="A15" s="114" t="s">
        <v>108</v>
      </c>
      <c r="B15" s="115" t="s">
        <v>109</v>
      </c>
      <c r="C15" s="116" t="s">
        <v>110</v>
      </c>
      <c r="D15" s="117" t="s">
        <v>10</v>
      </c>
      <c r="E15" s="116" t="s">
        <v>11</v>
      </c>
      <c r="F15" s="117" t="s">
        <v>130</v>
      </c>
      <c r="G15" s="116" t="s">
        <v>95</v>
      </c>
      <c r="H15" s="117" t="s">
        <v>12</v>
      </c>
      <c r="I15" s="116" t="s">
        <v>106</v>
      </c>
      <c r="J15" s="118"/>
      <c r="K15" s="119" t="s">
        <v>120</v>
      </c>
      <c r="L15" s="120">
        <v>144</v>
      </c>
      <c r="M15" s="119" t="s">
        <v>93</v>
      </c>
      <c r="N15" s="120" t="s">
        <v>20</v>
      </c>
      <c r="O15" s="119" t="s">
        <v>11</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98E9F-2D89-478B-AA2C-5CE341CC2AAE}">
  <dimension ref="B1:M47"/>
  <sheetViews>
    <sheetView workbookViewId="0"/>
  </sheetViews>
  <sheetFormatPr defaultColWidth="9.140625" defaultRowHeight="15"/>
  <cols>
    <col min="1" max="1" width="2.140625" style="125" customWidth="1"/>
    <col min="2" max="2" width="23.140625" style="125" customWidth="1"/>
    <col min="3" max="3" width="11.140625" style="125" bestFit="1" customWidth="1"/>
    <col min="4" max="11" width="10.140625" style="125" customWidth="1"/>
    <col min="12" max="12" width="9.140625" style="125"/>
    <col min="13" max="13" width="11.42578125" style="125" customWidth="1"/>
    <col min="14" max="16384" width="9.140625" style="125"/>
  </cols>
  <sheetData>
    <row r="1" spans="2:11" ht="19.5">
      <c r="B1" s="124" t="s">
        <v>269</v>
      </c>
    </row>
    <row r="2" spans="2:11" ht="36.75" customHeight="1">
      <c r="B2" s="172" t="s">
        <v>307</v>
      </c>
      <c r="C2" s="172"/>
      <c r="D2" s="172"/>
      <c r="E2" s="172"/>
      <c r="F2" s="172"/>
      <c r="G2" s="172"/>
      <c r="H2" s="172"/>
      <c r="I2" s="172"/>
      <c r="J2" s="172"/>
      <c r="K2" s="172"/>
    </row>
    <row r="3" spans="2:11" ht="35.25" customHeight="1">
      <c r="B3" s="172" t="s">
        <v>308</v>
      </c>
      <c r="C3" s="172"/>
      <c r="D3" s="172"/>
      <c r="E3" s="172"/>
      <c r="F3" s="172"/>
      <c r="G3" s="172"/>
      <c r="H3" s="172"/>
      <c r="I3" s="172"/>
      <c r="J3" s="172"/>
      <c r="K3" s="172"/>
    </row>
    <row r="4" spans="2:11" ht="14.25" customHeight="1">
      <c r="B4" s="176" t="s">
        <v>309</v>
      </c>
      <c r="C4" s="176"/>
      <c r="D4" s="176"/>
      <c r="E4" s="176"/>
      <c r="F4" s="176"/>
      <c r="G4" s="176"/>
      <c r="H4" s="176"/>
      <c r="I4" s="176"/>
      <c r="J4" s="176"/>
      <c r="K4" s="176"/>
    </row>
    <row r="5" spans="2:11" ht="39" customHeight="1">
      <c r="B5" s="177" t="s">
        <v>310</v>
      </c>
      <c r="C5" s="177"/>
      <c r="D5" s="177"/>
      <c r="E5" s="177"/>
      <c r="F5" s="177"/>
      <c r="G5" s="177"/>
      <c r="H5" s="177"/>
      <c r="I5" s="177"/>
      <c r="J5" s="177"/>
      <c r="K5" s="177"/>
    </row>
    <row r="6" spans="2:11" ht="13.5" customHeight="1">
      <c r="B6" s="126"/>
      <c r="C6" s="126"/>
      <c r="D6" s="126"/>
      <c r="E6" s="126"/>
      <c r="F6" s="126"/>
      <c r="G6" s="126"/>
      <c r="H6" s="126"/>
      <c r="I6" s="126"/>
      <c r="J6" s="126"/>
      <c r="K6" s="126"/>
    </row>
    <row r="7" spans="2:11" ht="49.5" customHeight="1">
      <c r="B7" s="176" t="s">
        <v>311</v>
      </c>
      <c r="C7" s="176"/>
      <c r="D7" s="176"/>
      <c r="E7" s="176"/>
      <c r="F7" s="176"/>
      <c r="G7" s="176"/>
      <c r="H7" s="176"/>
      <c r="I7" s="176"/>
      <c r="J7" s="176"/>
      <c r="K7" s="176"/>
    </row>
    <row r="8" spans="2:11" ht="13.5" customHeight="1">
      <c r="B8" s="126"/>
      <c r="C8" s="126"/>
      <c r="D8" s="126"/>
      <c r="E8" s="126"/>
      <c r="F8" s="126"/>
      <c r="G8" s="126"/>
      <c r="H8" s="126"/>
      <c r="I8" s="126"/>
      <c r="J8" s="126"/>
      <c r="K8" s="126"/>
    </row>
    <row r="9" spans="2:11">
      <c r="B9" s="127" t="s">
        <v>207</v>
      </c>
    </row>
    <row r="10" spans="2:11" ht="28.5" customHeight="1">
      <c r="B10" s="172" t="s">
        <v>208</v>
      </c>
      <c r="C10" s="172"/>
      <c r="D10" s="172"/>
      <c r="E10" s="172"/>
      <c r="F10" s="172"/>
      <c r="G10" s="172"/>
      <c r="H10" s="172"/>
      <c r="I10" s="172"/>
      <c r="J10" s="172"/>
      <c r="K10" s="172"/>
    </row>
    <row r="11" spans="2:11" ht="39" customHeight="1">
      <c r="B11" s="172" t="s">
        <v>209</v>
      </c>
      <c r="C11" s="172"/>
      <c r="D11" s="172"/>
      <c r="E11" s="172"/>
      <c r="F11" s="172"/>
      <c r="G11" s="172"/>
      <c r="H11" s="172"/>
      <c r="I11" s="172"/>
      <c r="J11" s="172"/>
      <c r="K11" s="172"/>
    </row>
    <row r="12" spans="2:11" ht="15.75" customHeight="1">
      <c r="B12" s="128" t="s">
        <v>210</v>
      </c>
    </row>
    <row r="13" spans="2:11" ht="27" customHeight="1">
      <c r="B13" s="173" t="s">
        <v>211</v>
      </c>
      <c r="C13" s="174"/>
      <c r="D13" s="174"/>
      <c r="E13" s="174"/>
      <c r="F13" s="174"/>
      <c r="G13" s="174"/>
      <c r="H13" s="174"/>
      <c r="I13" s="174"/>
      <c r="J13" s="174"/>
      <c r="K13" s="174"/>
    </row>
    <row r="14" spans="2:11" ht="49.5" customHeight="1">
      <c r="B14" s="174" t="s">
        <v>212</v>
      </c>
      <c r="C14" s="174"/>
      <c r="D14" s="174"/>
      <c r="E14" s="174"/>
      <c r="F14" s="174"/>
      <c r="G14" s="174"/>
      <c r="H14" s="174"/>
      <c r="I14" s="174"/>
      <c r="J14" s="174"/>
      <c r="K14" s="174"/>
    </row>
    <row r="15" spans="2:11">
      <c r="B15" s="129"/>
    </row>
    <row r="16" spans="2:11">
      <c r="B16" s="130" t="s">
        <v>213</v>
      </c>
    </row>
    <row r="17" spans="2:12" ht="15.75" thickBot="1">
      <c r="B17" s="131" t="s">
        <v>214</v>
      </c>
      <c r="C17" s="132" t="s">
        <v>215</v>
      </c>
      <c r="D17" s="132" t="s">
        <v>216</v>
      </c>
    </row>
    <row r="18" spans="2:12" ht="16.5" thickTop="1" thickBot="1">
      <c r="B18" s="133" t="s">
        <v>217</v>
      </c>
      <c r="C18" s="134">
        <v>37</v>
      </c>
      <c r="D18" s="134">
        <v>15</v>
      </c>
    </row>
    <row r="19" spans="2:12" ht="15.75" thickBot="1">
      <c r="B19" s="133" t="s">
        <v>218</v>
      </c>
      <c r="C19" s="134">
        <v>42</v>
      </c>
      <c r="D19" s="134">
        <v>9</v>
      </c>
    </row>
    <row r="20" spans="2:12" ht="15.75" thickBot="1">
      <c r="B20" s="133" t="s">
        <v>219</v>
      </c>
      <c r="C20" s="134">
        <v>41</v>
      </c>
      <c r="D20" s="134">
        <v>8</v>
      </c>
    </row>
    <row r="21" spans="2:12" ht="15.75" thickBot="1">
      <c r="B21" s="133" t="s">
        <v>220</v>
      </c>
      <c r="C21" s="134">
        <v>43</v>
      </c>
      <c r="D21" s="134">
        <v>11</v>
      </c>
    </row>
    <row r="22" spans="2:12" ht="15.75" thickBot="1">
      <c r="B22" s="133" t="s">
        <v>221</v>
      </c>
      <c r="C22" s="134">
        <v>7.7</v>
      </c>
      <c r="D22" s="134">
        <v>1.2</v>
      </c>
    </row>
    <row r="23" spans="2:12">
      <c r="B23" s="135"/>
    </row>
    <row r="24" spans="2:12">
      <c r="B24" s="127" t="s">
        <v>222</v>
      </c>
    </row>
    <row r="25" spans="2:12" ht="25.5" customHeight="1">
      <c r="B25" s="172" t="s">
        <v>223</v>
      </c>
      <c r="C25" s="172"/>
      <c r="D25" s="172"/>
      <c r="E25" s="172"/>
      <c r="F25" s="172"/>
      <c r="G25" s="172"/>
      <c r="H25" s="172"/>
      <c r="I25" s="172"/>
      <c r="J25" s="172"/>
      <c r="K25" s="172"/>
    </row>
    <row r="26" spans="2:12">
      <c r="B26" s="128"/>
    </row>
    <row r="27" spans="2:12" ht="19.5">
      <c r="B27" s="136" t="s">
        <v>224</v>
      </c>
    </row>
    <row r="28" spans="2:12">
      <c r="B28" s="128" t="s">
        <v>225</v>
      </c>
    </row>
    <row r="29" spans="2:12" s="137" customFormat="1" ht="27.75" customHeight="1">
      <c r="B29" s="172" t="s">
        <v>312</v>
      </c>
      <c r="C29" s="172"/>
      <c r="D29" s="172"/>
      <c r="E29" s="172"/>
      <c r="F29" s="172"/>
      <c r="G29" s="172"/>
      <c r="H29" s="172"/>
      <c r="I29" s="172"/>
      <c r="J29" s="172"/>
      <c r="K29" s="172"/>
    </row>
    <row r="30" spans="2:12">
      <c r="B30" s="128" t="s">
        <v>313</v>
      </c>
    </row>
    <row r="31" spans="2:12">
      <c r="B31" s="129" t="s">
        <v>314</v>
      </c>
    </row>
    <row r="32" spans="2:12" ht="17.25" customHeight="1">
      <c r="B32" s="138"/>
      <c r="C32" s="175" t="s">
        <v>272</v>
      </c>
      <c r="D32" s="175"/>
      <c r="E32" s="175"/>
      <c r="F32" s="175"/>
      <c r="G32" s="175"/>
      <c r="H32" s="175"/>
      <c r="I32" s="175"/>
      <c r="J32" s="175"/>
      <c r="K32" s="175"/>
      <c r="L32" s="175"/>
    </row>
    <row r="33" spans="2:13" ht="30" customHeight="1">
      <c r="B33" s="129"/>
      <c r="C33" s="175" t="s">
        <v>315</v>
      </c>
      <c r="D33" s="175"/>
      <c r="E33" s="175"/>
      <c r="F33" s="175"/>
      <c r="G33" s="175"/>
      <c r="H33" s="175"/>
      <c r="I33" s="175"/>
      <c r="J33" s="175"/>
      <c r="K33" s="175"/>
      <c r="L33" s="175"/>
    </row>
    <row r="34" spans="2:13">
      <c r="B34" s="129" t="s">
        <v>270</v>
      </c>
    </row>
    <row r="35" spans="2:13" s="129" customFormat="1" ht="39.75" customHeight="1">
      <c r="C35" s="175" t="s">
        <v>316</v>
      </c>
      <c r="D35" s="175"/>
      <c r="E35" s="175"/>
      <c r="F35" s="175"/>
      <c r="G35" s="175"/>
      <c r="H35" s="175"/>
      <c r="I35" s="175"/>
      <c r="J35" s="175"/>
      <c r="K35" s="175"/>
      <c r="L35" s="175"/>
      <c r="M35" s="125"/>
    </row>
    <row r="36" spans="2:13" s="129" customFormat="1" ht="41.25" customHeight="1">
      <c r="C36" s="175" t="s">
        <v>271</v>
      </c>
      <c r="D36" s="175"/>
      <c r="E36" s="175"/>
      <c r="F36" s="175"/>
      <c r="G36" s="175"/>
      <c r="H36" s="175"/>
      <c r="I36" s="175"/>
      <c r="J36" s="175"/>
      <c r="K36" s="175"/>
      <c r="L36" s="175"/>
      <c r="M36" s="125"/>
    </row>
    <row r="37" spans="2:13" s="129" customFormat="1" ht="74.25" customHeight="1">
      <c r="C37" s="175" t="s">
        <v>317</v>
      </c>
      <c r="D37" s="175"/>
      <c r="E37" s="175"/>
      <c r="F37" s="175"/>
      <c r="G37" s="175"/>
      <c r="H37" s="175"/>
      <c r="I37" s="175"/>
      <c r="J37" s="175"/>
      <c r="K37" s="175"/>
      <c r="L37" s="175"/>
      <c r="M37" s="125"/>
    </row>
    <row r="38" spans="2:13" s="129" customFormat="1" ht="39" customHeight="1">
      <c r="C38" s="175" t="s">
        <v>318</v>
      </c>
      <c r="D38" s="175"/>
      <c r="E38" s="175"/>
      <c r="F38" s="175"/>
      <c r="G38" s="175"/>
      <c r="H38" s="175"/>
      <c r="I38" s="175"/>
      <c r="J38" s="175"/>
      <c r="K38" s="175"/>
      <c r="L38" s="175"/>
      <c r="M38" s="125"/>
    </row>
    <row r="39" spans="2:13" s="137" customFormat="1">
      <c r="B39" s="128"/>
    </row>
    <row r="40" spans="2:13" s="137" customFormat="1">
      <c r="B40" s="139" t="s">
        <v>226</v>
      </c>
    </row>
    <row r="41" spans="2:13" s="137" customFormat="1" ht="15.75" thickBot="1">
      <c r="B41" s="131" t="s">
        <v>227</v>
      </c>
      <c r="C41" s="170" t="s">
        <v>228</v>
      </c>
      <c r="D41" s="171"/>
      <c r="E41" s="171"/>
      <c r="F41" s="171"/>
      <c r="G41" s="171"/>
      <c r="H41" s="171"/>
      <c r="I41" s="171"/>
      <c r="J41" s="171"/>
    </row>
    <row r="42" spans="2:13" s="137" customFormat="1" ht="27.75" customHeight="1" thickTop="1" thickBot="1">
      <c r="B42" s="133" t="s">
        <v>229</v>
      </c>
      <c r="C42" s="167" t="s">
        <v>230</v>
      </c>
      <c r="D42" s="168"/>
      <c r="E42" s="168"/>
      <c r="F42" s="168"/>
      <c r="G42" s="168"/>
      <c r="H42" s="168"/>
      <c r="I42" s="168"/>
      <c r="J42" s="168"/>
    </row>
    <row r="43" spans="2:13" s="137" customFormat="1" ht="42.75" customHeight="1" thickBot="1">
      <c r="B43" s="133" t="s">
        <v>231</v>
      </c>
      <c r="C43" s="167" t="s">
        <v>232</v>
      </c>
      <c r="D43" s="168"/>
      <c r="E43" s="168"/>
      <c r="F43" s="168"/>
      <c r="G43" s="168"/>
      <c r="H43" s="168"/>
      <c r="I43" s="168"/>
      <c r="J43" s="168"/>
    </row>
    <row r="44" spans="2:13" s="137" customFormat="1" ht="46.5" customHeight="1" thickBot="1">
      <c r="B44" s="133" t="s">
        <v>319</v>
      </c>
      <c r="C44" s="167" t="s">
        <v>320</v>
      </c>
      <c r="D44" s="168"/>
      <c r="E44" s="168"/>
      <c r="F44" s="168"/>
      <c r="G44" s="168"/>
      <c r="H44" s="168"/>
      <c r="I44" s="168"/>
      <c r="J44" s="168"/>
    </row>
    <row r="45" spans="2:13" s="137" customFormat="1" ht="25.5" customHeight="1" thickBot="1">
      <c r="B45" s="133" t="s">
        <v>233</v>
      </c>
      <c r="C45" s="167" t="s">
        <v>234</v>
      </c>
      <c r="D45" s="168"/>
      <c r="E45" s="168"/>
      <c r="F45" s="168"/>
      <c r="G45" s="168"/>
      <c r="H45" s="168"/>
      <c r="I45" s="168"/>
      <c r="J45" s="168"/>
    </row>
    <row r="46" spans="2:13" s="137" customFormat="1" ht="23.25" customHeight="1" thickBot="1">
      <c r="B46" s="133" t="s">
        <v>321</v>
      </c>
      <c r="C46" s="167" t="s">
        <v>322</v>
      </c>
      <c r="D46" s="169"/>
      <c r="E46" s="169"/>
      <c r="F46" s="169"/>
      <c r="G46" s="169"/>
      <c r="H46" s="169"/>
      <c r="I46" s="169"/>
      <c r="J46" s="169"/>
    </row>
    <row r="47" spans="2:13" s="137" customFormat="1" ht="15.75" thickBot="1">
      <c r="B47" s="140"/>
    </row>
  </sheetData>
  <mergeCells count="23">
    <mergeCell ref="B10:K10"/>
    <mergeCell ref="B2:K2"/>
    <mergeCell ref="B3:K3"/>
    <mergeCell ref="B4:K4"/>
    <mergeCell ref="B5:K5"/>
    <mergeCell ref="B7:K7"/>
    <mergeCell ref="C41:J41"/>
    <mergeCell ref="B11:K11"/>
    <mergeCell ref="B13:K13"/>
    <mergeCell ref="B14:K14"/>
    <mergeCell ref="B25:K25"/>
    <mergeCell ref="B29:K29"/>
    <mergeCell ref="C32:L32"/>
    <mergeCell ref="C33:L33"/>
    <mergeCell ref="C35:L35"/>
    <mergeCell ref="C36:L36"/>
    <mergeCell ref="C37:L37"/>
    <mergeCell ref="C38:L38"/>
    <mergeCell ref="C42:J42"/>
    <mergeCell ref="C43:J43"/>
    <mergeCell ref="C44:J44"/>
    <mergeCell ref="C45:J45"/>
    <mergeCell ref="C46:J4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NETWORKDEV-2134468847-13544</_dlc_DocId>
    <_dlc_DocIdUrl xmlns="a14523ce-dede-483e-883a-2d83261080bd">
      <Url>http://sharedocs/sites/nd/BusinessAsUsual/_layouts/15/DocIdRedir.aspx?ID=NETWORKDEV-2134468847-13544</Url>
      <Description>NETWORKDEV-2134468847-13544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D a t a M a s h u p   s q m i d = " c d 5 1 e 4 2 6 - 4 e 3 1 - 4 1 1 d - b c 8 0 - 9 d a d 8 4 d 2 a 4 6 b "   x m l n s = " h t t p : / / s c h e m a s . m i c r o s o f t . c o m / D a t a M a s h u p " > A A A A A B c D A A B Q S w M E F A A C A A g A E 2 T / T J 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E 2 T / 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N k / 0 w o i k e 4 D g A A A B E A A A A T A B w A R m 9 y b X V s Y X M v U 2 V j d G l v b j E u b S C i G A A o o B Q A A A A A A A A A A A A A A A A A A A A A A A A A A A A r T k 0 u y c z P U w i G 0 I b W A F B L A Q I t A B Q A A g A I A B N k / 0 y d S Y d a p w A A A P k A A A A S A A A A A A A A A A A A A A A A A A A A A A B D b 2 5 m a W c v U G F j a 2 F n Z S 5 4 b W x Q S w E C L Q A U A A I A C A A T Z P 9 M D 8 r p q 6 Q A A A D p A A A A E w A A A A A A A A A A A A A A A A D z A A A A W 0 N v b n R l b n R f V H l w Z X N d L n h t b F B L A Q I t A B Q A A g A I A B N k / 0 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5 e F 4 b t R j W R L U N x W c h p t r 8 A A A A A A I A A A A A A A N m A A D A A A A A E A A A A O g p U M c G 0 2 o K K R 8 j c 2 B 4 v O 4 A A A A A B I A A A K A A A A A Q A A A A l C S G J 9 / e Z Z 0 h M 4 7 N 5 t p r c 1 A A A A A a j e i c d + t W 9 7 s v Z 8 l 7 t f Z B K k 2 p c e j u P F l 6 l N C I M I Y y I M q H l + S D i 0 4 Z A H v H p 3 V r s 8 A o x l u 4 7 R 1 6 + J c 0 S B R E z H o g y n X n u H 8 9 N H c 5 1 s N 5 0 H Z / l h Q A A A D Y H d t W 5 H c Z c Q A u p 9 M o 2 F + e f b 7 o n Q = = < / D a t a M a s h u p > 
</file>

<file path=customXml/itemProps1.xml><?xml version="1.0" encoding="utf-8"?>
<ds:datastoreItem xmlns:ds="http://schemas.openxmlformats.org/officeDocument/2006/customXml" ds:itemID="{438E7642-1B8F-4CCA-9853-06E36FCAB5E9}">
  <ds:schemaRefs>
    <ds:schemaRef ds:uri="http://purl.org/dc/elements/1.1/"/>
    <ds:schemaRef ds:uri="http://purl.org/dc/terms/"/>
    <ds:schemaRef ds:uri="http://schemas.openxmlformats.org/package/2006/metadata/core-properties"/>
    <ds:schemaRef ds:uri="a14523ce-dede-483e-883a-2d83261080bd"/>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23097C7-534B-4401-A03D-EEF339021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80214A-2822-4B1D-81B5-8C90E1B8A08A}">
  <ds:schemaRefs>
    <ds:schemaRef ds:uri="http://schemas.microsoft.com/sharepoint/events"/>
  </ds:schemaRefs>
</ds:datastoreItem>
</file>

<file path=customXml/itemProps4.xml><?xml version="1.0" encoding="utf-8"?>
<ds:datastoreItem xmlns:ds="http://schemas.openxmlformats.org/officeDocument/2006/customXml" ds:itemID="{5C747C43-1FFD-4F92-B4C9-2A9396C61DC0}">
  <ds:schemaRefs>
    <ds:schemaRef ds:uri="http://schemas.microsoft.com/sharepoint/v3/contenttype/forms"/>
  </ds:schemaRefs>
</ds:datastoreItem>
</file>

<file path=customXml/itemProps5.xml><?xml version="1.0" encoding="utf-8"?>
<ds:datastoreItem xmlns:ds="http://schemas.openxmlformats.org/officeDocument/2006/customXml" ds:itemID="{8DEE7665-CDD1-4B91-A9C3-60D498D7A55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Tasmania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Matthew Marston</cp:lastModifiedBy>
  <dcterms:created xsi:type="dcterms:W3CDTF">2014-03-07T16:08:25Z</dcterms:created>
  <dcterms:modified xsi:type="dcterms:W3CDTF">2018-07-31T03:11:34Z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2e415db6-7491-4313-8563-f8c6e7752f7f</vt:lpwstr>
  </property>
  <property fmtid="{D5CDD505-2E9C-101B-9397-08002B2CF9AE}" pid="6" name="AEMODocumentType">
    <vt:lpwstr>3;#Operational Record|859762f2-4462-42eb-9744-c955c7e2c540</vt:lpwstr>
  </property>
</Properties>
</file>