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5"/>
  <workbookPr defaultThemeVersion="166925"/>
  <mc:AlternateContent xmlns:mc="http://schemas.openxmlformats.org/markup-compatibility/2006">
    <mc:Choice Requires="x15">
      <x15ac:absPath xmlns:x15ac="http://schemas.microsoft.com/office/spreadsheetml/2010/11/ac" url="C:\Users\bedwards\Desktop\"/>
    </mc:Choice>
  </mc:AlternateContent>
  <xr:revisionPtr revIDLastSave="0" documentId="8_{58A9421A-81A4-42B3-BA00-3ABD49E27A3C}" xr6:coauthVersionLast="47" xr6:coauthVersionMax="47" xr10:uidLastSave="{00000000-0000-0000-0000-000000000000}"/>
  <bookViews>
    <workbookView xWindow="-120" yWindow="-120" windowWidth="29040" windowHeight="15840" tabRatio="879" firstSheet="1" activeTab="1" xr2:uid="{311D2DC8-1E27-4024-95EE-2E486FD06305}"/>
  </bookViews>
  <sheets>
    <sheet name="OPEX Budget" sheetId="18" r:id="rId1"/>
    <sheet name="Summary project budget" sheetId="8" r:id="rId2"/>
    <sheet name="Budget major project list" sheetId="9" r:id="rId3"/>
    <sheet name="REFERENCE" sheetId="14" r:id="rId4"/>
  </sheets>
  <externalReferences>
    <externalReference r:id="rId5"/>
    <externalReference r:id="rId6"/>
    <externalReference r:id="rId7"/>
  </externalReferences>
  <definedNames>
    <definedName name="_Key1" hidden="1">#REF!</definedName>
    <definedName name="_Key2" hidden="1">#REF!</definedName>
    <definedName name="_Order1" hidden="1">255</definedName>
    <definedName name="_Order2" hidden="1">255</definedName>
    <definedName name="_Sort" hidden="1">#REF!</definedName>
    <definedName name="Alt_Chks_Msg">[1]Checks!$G$324</definedName>
    <definedName name="AssetCategory">[2]Lists!$C$196:$C$207</definedName>
    <definedName name="DocStatus">[2]Lists!$C$28:$C$35</definedName>
    <definedName name="Err_Chks_Msg">[1]Checks!$G$6</definedName>
    <definedName name="ExpenditureType">[2]Lists!$C$154:$C$157</definedName>
    <definedName name="MdoStgs" hidden="1">"{A4D81A65-33CF-452B-A234-0B7984C4FAD9}"</definedName>
    <definedName name="Millions">[2]Lists!$C$213</definedName>
    <definedName name="PERSONNEL_COSTS">'[3]Data LookUp'!$H$2:$H$25</definedName>
    <definedName name="ProjectGroup">[2]Lists!$C$38:$C$52</definedName>
    <definedName name="ProjectStatus">[2]Lists!$C$226:$C$230</definedName>
    <definedName name="RiskMethod">[2]Lists!$C$218:$C$222</definedName>
    <definedName name="Selection">[2]Lists!$C$4:$C$5</definedName>
    <definedName name="Sens_Chks_Msg">[1]Checks!$G$308</definedName>
    <definedName name="Thousands">#REF!</definedName>
    <definedName name="wd" hidden="1">#REF!</definedName>
    <definedName name="wrn.VALUATION._.PRINTOUT." hidden="1">{#N/A,#N/A,TRUE,"Cover";#N/A,#N/A,TRUE,"Report";#N/A,#N/A,TRUE,"Report Transition";#N/A,#N/A,TRUE,"GST";#N/A,#N/A,TRUE,"Statement";#N/A,#N/A,TRUE,"Transition Val"}</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103" i="8" l="1"/>
  <c r="L102" i="8"/>
  <c r="L101" i="8"/>
  <c r="L100" i="8"/>
  <c r="L99" i="8"/>
  <c r="L98" i="8"/>
  <c r="L97" i="8"/>
  <c r="L96" i="8"/>
  <c r="L95" i="8"/>
  <c r="L94" i="8"/>
  <c r="L93" i="8"/>
  <c r="L92" i="8"/>
  <c r="L91" i="8"/>
  <c r="L90" i="8"/>
  <c r="L89" i="8"/>
  <c r="L88" i="8"/>
  <c r="D88" i="8"/>
  <c r="E88" i="8"/>
  <c r="F88" i="8"/>
  <c r="G88" i="8"/>
  <c r="H88" i="8"/>
  <c r="D89" i="8"/>
  <c r="E89" i="8"/>
  <c r="F89" i="8"/>
  <c r="G89" i="8"/>
  <c r="H89" i="8"/>
  <c r="D90" i="8"/>
  <c r="E90" i="8"/>
  <c r="F90" i="8"/>
  <c r="G90" i="8"/>
  <c r="H90" i="8"/>
  <c r="D91" i="8"/>
  <c r="E91" i="8"/>
  <c r="F91" i="8"/>
  <c r="G91" i="8"/>
  <c r="H91" i="8"/>
  <c r="D92" i="8"/>
  <c r="E92" i="8"/>
  <c r="F92" i="8"/>
  <c r="G92" i="8"/>
  <c r="H92" i="8"/>
  <c r="D93" i="8"/>
  <c r="E93" i="8"/>
  <c r="F93" i="8"/>
  <c r="G93" i="8"/>
  <c r="H93" i="8"/>
  <c r="D94" i="8"/>
  <c r="E94" i="8"/>
  <c r="F94" i="8"/>
  <c r="G94" i="8"/>
  <c r="H94" i="8"/>
  <c r="D95" i="8"/>
  <c r="E95" i="8"/>
  <c r="F95" i="8"/>
  <c r="G95" i="8"/>
  <c r="H95" i="8"/>
  <c r="D96" i="8"/>
  <c r="E96" i="8"/>
  <c r="F96" i="8"/>
  <c r="G96" i="8"/>
  <c r="H96" i="8"/>
  <c r="D97" i="8"/>
  <c r="E97" i="8"/>
  <c r="F97" i="8"/>
  <c r="G97" i="8"/>
  <c r="H97" i="8"/>
  <c r="D98" i="8"/>
  <c r="E98" i="8"/>
  <c r="F98" i="8"/>
  <c r="G98" i="8"/>
  <c r="H98" i="8"/>
  <c r="D99" i="8"/>
  <c r="E99" i="8"/>
  <c r="F99" i="8"/>
  <c r="G99" i="8"/>
  <c r="H99" i="8"/>
  <c r="D100" i="8"/>
  <c r="E100" i="8"/>
  <c r="F100" i="8"/>
  <c r="G100" i="8"/>
  <c r="H100" i="8"/>
  <c r="D101" i="8"/>
  <c r="E101" i="8"/>
  <c r="F101" i="8"/>
  <c r="G101" i="8"/>
  <c r="H101" i="8"/>
  <c r="D102" i="8"/>
  <c r="E102" i="8"/>
  <c r="F102" i="8"/>
  <c r="G102" i="8"/>
  <c r="H102" i="8"/>
  <c r="D103" i="8"/>
  <c r="E103" i="8"/>
  <c r="F103" i="8"/>
  <c r="G103" i="8"/>
  <c r="H103" i="8"/>
  <c r="L45" i="8"/>
  <c r="L46" i="8"/>
  <c r="L47" i="8"/>
  <c r="L48" i="8"/>
  <c r="L49" i="8"/>
  <c r="L50" i="8"/>
  <c r="L51" i="8"/>
  <c r="L52" i="8"/>
  <c r="L53" i="8"/>
  <c r="L54" i="8"/>
  <c r="L55" i="8"/>
  <c r="L56" i="8"/>
  <c r="L57" i="8"/>
  <c r="L58" i="8"/>
  <c r="L59" i="8"/>
  <c r="L60" i="8"/>
  <c r="H60" i="8"/>
  <c r="G60" i="8"/>
  <c r="F60" i="8"/>
  <c r="E60" i="8"/>
  <c r="D60" i="8"/>
  <c r="H59" i="8"/>
  <c r="G59" i="8"/>
  <c r="F59" i="8"/>
  <c r="E59" i="8"/>
  <c r="D59" i="8"/>
  <c r="H58" i="8"/>
  <c r="G58" i="8"/>
  <c r="F58" i="8"/>
  <c r="E58" i="8"/>
  <c r="D58" i="8"/>
  <c r="H57" i="8"/>
  <c r="G57" i="8"/>
  <c r="F57" i="8"/>
  <c r="E57" i="8"/>
  <c r="D57" i="8"/>
  <c r="H56" i="8"/>
  <c r="G56" i="8"/>
  <c r="F56" i="8"/>
  <c r="E56" i="8"/>
  <c r="D56" i="8"/>
  <c r="H55" i="8"/>
  <c r="G55" i="8"/>
  <c r="F55" i="8"/>
  <c r="E55" i="8"/>
  <c r="D55" i="8"/>
  <c r="H54" i="8"/>
  <c r="G54" i="8"/>
  <c r="F54" i="8"/>
  <c r="E54" i="8"/>
  <c r="D54" i="8"/>
  <c r="H53" i="8"/>
  <c r="G53" i="8"/>
  <c r="F53" i="8"/>
  <c r="E53" i="8"/>
  <c r="D53" i="8"/>
  <c r="H52" i="8"/>
  <c r="G52" i="8"/>
  <c r="F52" i="8"/>
  <c r="E52" i="8"/>
  <c r="D52" i="8"/>
  <c r="H51" i="8"/>
  <c r="G51" i="8"/>
  <c r="F51" i="8"/>
  <c r="E51" i="8"/>
  <c r="D51" i="8"/>
  <c r="H50" i="8"/>
  <c r="G50" i="8"/>
  <c r="F50" i="8"/>
  <c r="E50" i="8"/>
  <c r="D50" i="8"/>
  <c r="H49" i="8"/>
  <c r="G49" i="8"/>
  <c r="F49" i="8"/>
  <c r="E49" i="8"/>
  <c r="D49" i="8"/>
  <c r="H48" i="8"/>
  <c r="G48" i="8"/>
  <c r="F48" i="8"/>
  <c r="E48" i="8"/>
  <c r="D48" i="8"/>
  <c r="H47" i="8"/>
  <c r="G47" i="8"/>
  <c r="F47" i="8"/>
  <c r="E47" i="8"/>
  <c r="D47" i="8"/>
  <c r="H46" i="8"/>
  <c r="G46" i="8"/>
  <c r="F46" i="8"/>
  <c r="E46" i="8"/>
  <c r="D46" i="8"/>
  <c r="H45" i="8"/>
  <c r="G45" i="8"/>
  <c r="F45" i="8"/>
  <c r="E45" i="8"/>
  <c r="D45" i="8"/>
  <c r="E28" i="18"/>
  <c r="F76" i="8"/>
  <c r="L76" i="8" l="1"/>
  <c r="L71" i="8"/>
  <c r="F71" i="8"/>
  <c r="F70" i="8" l="1"/>
  <c r="L70" i="8"/>
  <c r="D33" i="8" l="1"/>
  <c r="D28" i="8"/>
  <c r="F33" i="8"/>
  <c r="D27" i="8" l="1"/>
  <c r="L33" i="8" l="1"/>
  <c r="E37" i="18" l="1"/>
  <c r="E47" i="18"/>
  <c r="E39" i="18"/>
  <c r="E8" i="18"/>
  <c r="C27" i="18"/>
  <c r="E76" i="8" l="1"/>
  <c r="F5" i="18" l="1"/>
  <c r="G5" i="18" s="1"/>
  <c r="D7" i="18"/>
  <c r="D9" i="18"/>
  <c r="F9" i="18"/>
  <c r="G9" i="18"/>
  <c r="D12" i="18"/>
  <c r="B71" i="18"/>
  <c r="B72" i="18"/>
  <c r="D16" i="18"/>
  <c r="B74" i="18"/>
  <c r="C75" i="18"/>
  <c r="B76" i="18"/>
  <c r="B79" i="18"/>
  <c r="B23" i="18"/>
  <c r="D23" i="18"/>
  <c r="E23" i="18"/>
  <c r="F23" i="18"/>
  <c r="G23" i="18" s="1"/>
  <c r="D24" i="18"/>
  <c r="F24" i="18"/>
  <c r="G24" i="18"/>
  <c r="D25" i="18"/>
  <c r="F25" i="18"/>
  <c r="G25" i="18" s="1"/>
  <c r="D29" i="18"/>
  <c r="F29" i="18"/>
  <c r="G29" i="18"/>
  <c r="D30" i="18"/>
  <c r="F30" i="18"/>
  <c r="G30" i="18" s="1"/>
  <c r="D31" i="18"/>
  <c r="F31" i="18"/>
  <c r="G31" i="18"/>
  <c r="F34" i="18"/>
  <c r="G34" i="18" s="1"/>
  <c r="D35" i="18"/>
  <c r="F35" i="18" s="1"/>
  <c r="D36" i="18"/>
  <c r="F36" i="18"/>
  <c r="G36" i="18" s="1"/>
  <c r="B37" i="18"/>
  <c r="F38" i="18"/>
  <c r="G38" i="18" s="1"/>
  <c r="B39" i="18"/>
  <c r="C67" i="18"/>
  <c r="D40" i="18"/>
  <c r="F40" i="18"/>
  <c r="G40" i="18" s="1"/>
  <c r="D41" i="18"/>
  <c r="F41" i="18"/>
  <c r="G41" i="18" s="1"/>
  <c r="D42" i="18"/>
  <c r="F42" i="18"/>
  <c r="G42" i="18" s="1"/>
  <c r="C71" i="18"/>
  <c r="D44" i="18"/>
  <c r="F44" i="18"/>
  <c r="D45" i="18"/>
  <c r="F45" i="18"/>
  <c r="G45" i="18" s="1"/>
  <c r="D46" i="18"/>
  <c r="F46" i="18"/>
  <c r="G46" i="18" s="1"/>
  <c r="B47" i="18"/>
  <c r="D47" i="18" s="1"/>
  <c r="D48" i="18"/>
  <c r="D49" i="18"/>
  <c r="D50" i="18"/>
  <c r="C79" i="18"/>
  <c r="D51" i="18"/>
  <c r="F51" i="18"/>
  <c r="B52" i="18"/>
  <c r="D52" i="18" s="1"/>
  <c r="D80" i="18" s="1"/>
  <c r="F52" i="18"/>
  <c r="G52" i="18" s="1"/>
  <c r="D53" i="18"/>
  <c r="D81" i="18" s="1"/>
  <c r="F53" i="18"/>
  <c r="G53" i="18"/>
  <c r="D54" i="18"/>
  <c r="F54" i="18"/>
  <c r="G54" i="18" s="1"/>
  <c r="D55" i="18"/>
  <c r="E56" i="18"/>
  <c r="B60" i="18"/>
  <c r="E60" i="18"/>
  <c r="B64" i="18"/>
  <c r="E65" i="18"/>
  <c r="E66" i="18"/>
  <c r="F66" i="18" s="1"/>
  <c r="G66" i="18" s="1"/>
  <c r="E68" i="18"/>
  <c r="C70" i="18"/>
  <c r="C72" i="18"/>
  <c r="C73" i="18"/>
  <c r="C74" i="18"/>
  <c r="C76" i="18"/>
  <c r="C78" i="18"/>
  <c r="E80" i="18"/>
  <c r="F80" i="18"/>
  <c r="G80" i="18"/>
  <c r="B81" i="18"/>
  <c r="E81" i="18"/>
  <c r="F81" i="18" s="1"/>
  <c r="G81" i="18" s="1"/>
  <c r="B82" i="18"/>
  <c r="D82" i="18"/>
  <c r="E82" i="18"/>
  <c r="F82" i="18"/>
  <c r="G82" i="18" s="1"/>
  <c r="C89" i="18"/>
  <c r="B99" i="18"/>
  <c r="B103" i="18"/>
  <c r="B108" i="18"/>
  <c r="B110" i="18" s="1"/>
  <c r="B114" i="18"/>
  <c r="C114" i="18"/>
  <c r="B120" i="18"/>
  <c r="B127" i="18" s="1"/>
  <c r="B126" i="18"/>
  <c r="B136" i="18"/>
  <c r="B141" i="18"/>
  <c r="B142" i="18" s="1"/>
  <c r="F55" i="18" l="1"/>
  <c r="F48" i="18"/>
  <c r="G48" i="18" s="1"/>
  <c r="B56" i="18"/>
  <c r="B57" i="18" s="1"/>
  <c r="F50" i="18"/>
  <c r="G50" i="18" s="1"/>
  <c r="F49" i="18"/>
  <c r="G49" i="18" s="1"/>
  <c r="F47" i="18"/>
  <c r="E57" i="18"/>
  <c r="E83" i="18"/>
  <c r="E73" i="18"/>
  <c r="E72" i="18"/>
  <c r="E64" i="18"/>
  <c r="F64" i="18" s="1"/>
  <c r="G64" i="18" s="1"/>
  <c r="F12" i="18"/>
  <c r="G12" i="18" s="1"/>
  <c r="E71" i="18"/>
  <c r="E63" i="18"/>
  <c r="E76" i="18"/>
  <c r="E78" i="18"/>
  <c r="E77" i="18"/>
  <c r="E70" i="18"/>
  <c r="E74" i="18"/>
  <c r="D22" i="18"/>
  <c r="D64" i="18"/>
  <c r="B73" i="18"/>
  <c r="B157" i="18" s="1"/>
  <c r="D15" i="18"/>
  <c r="D21" i="18"/>
  <c r="C68" i="18"/>
  <c r="D69" i="18"/>
  <c r="C77" i="18"/>
  <c r="B70" i="18"/>
  <c r="D13" i="18"/>
  <c r="D20" i="18"/>
  <c r="D77" i="18" s="1"/>
  <c r="F77" i="18" s="1"/>
  <c r="G77" i="18" s="1"/>
  <c r="B77" i="18"/>
  <c r="B10" i="18"/>
  <c r="D10" i="18" s="1"/>
  <c r="B68" i="18"/>
  <c r="D11" i="18"/>
  <c r="D6" i="18"/>
  <c r="B63" i="18"/>
  <c r="D26" i="18"/>
  <c r="D83" i="18" s="1"/>
  <c r="B83" i="18"/>
  <c r="B78" i="18"/>
  <c r="E18" i="18"/>
  <c r="F16" i="18"/>
  <c r="G16" i="18" s="1"/>
  <c r="D73" i="18"/>
  <c r="B18" i="18"/>
  <c r="B75" i="18" s="1"/>
  <c r="E10" i="18"/>
  <c r="E79" i="18"/>
  <c r="E69" i="18"/>
  <c r="F69" i="18" s="1"/>
  <c r="G69" i="18" s="1"/>
  <c r="F7" i="18"/>
  <c r="G7" i="18" s="1"/>
  <c r="B143" i="18"/>
  <c r="B144" i="18" s="1"/>
  <c r="C83" i="18"/>
  <c r="B80" i="18"/>
  <c r="C69" i="18"/>
  <c r="D14" i="18"/>
  <c r="B69" i="18"/>
  <c r="C56" i="18"/>
  <c r="C84" i="18" s="1"/>
  <c r="D43" i="18"/>
  <c r="D39" i="18"/>
  <c r="D37" i="18"/>
  <c r="F37" i="18" s="1"/>
  <c r="D17" i="18"/>
  <c r="B8" i="18"/>
  <c r="D19" i="18"/>
  <c r="F43" i="18" l="1"/>
  <c r="G43" i="18" s="1"/>
  <c r="F39" i="18"/>
  <c r="G39" i="18" s="1"/>
  <c r="F83" i="18"/>
  <c r="G83" i="18" s="1"/>
  <c r="F10" i="18"/>
  <c r="D63" i="18"/>
  <c r="F63" i="18" s="1"/>
  <c r="G63" i="18" s="1"/>
  <c r="D70" i="18"/>
  <c r="F70" i="18" s="1"/>
  <c r="G70" i="18" s="1"/>
  <c r="F21" i="18"/>
  <c r="G21" i="18" s="1"/>
  <c r="F15" i="18"/>
  <c r="G15" i="18" s="1"/>
  <c r="D78" i="18"/>
  <c r="F78" i="18" s="1"/>
  <c r="G78" i="18" s="1"/>
  <c r="E75" i="18"/>
  <c r="G10" i="18"/>
  <c r="F73" i="18"/>
  <c r="G73" i="18" s="1"/>
  <c r="D79" i="18"/>
  <c r="F79" i="18" s="1"/>
  <c r="F22" i="18"/>
  <c r="D74" i="18"/>
  <c r="F74" i="18" s="1"/>
  <c r="G74" i="18" s="1"/>
  <c r="F19" i="18"/>
  <c r="G19" i="18" s="1"/>
  <c r="F26" i="18"/>
  <c r="G26" i="18" s="1"/>
  <c r="F6" i="18"/>
  <c r="G6" i="18" s="1"/>
  <c r="F11" i="18"/>
  <c r="G11" i="18" s="1"/>
  <c r="F14" i="18"/>
  <c r="G14" i="18" s="1"/>
  <c r="D72" i="18"/>
  <c r="F72" i="18" s="1"/>
  <c r="G72" i="18" s="1"/>
  <c r="F20" i="18"/>
  <c r="G20" i="18" s="1"/>
  <c r="F13" i="18"/>
  <c r="G13" i="18" s="1"/>
  <c r="E67" i="18"/>
  <c r="D68" i="18"/>
  <c r="F68" i="18" s="1"/>
  <c r="G68" i="18" s="1"/>
  <c r="B27" i="18"/>
  <c r="D27" i="18" s="1"/>
  <c r="B67" i="18"/>
  <c r="D18" i="18"/>
  <c r="D67" i="18"/>
  <c r="E27" i="18"/>
  <c r="E84" i="18" s="1"/>
  <c r="D76" i="18"/>
  <c r="F76" i="18" s="1"/>
  <c r="G76" i="18" s="1"/>
  <c r="D8" i="18"/>
  <c r="F8" i="18" s="1"/>
  <c r="G8" i="18" s="1"/>
  <c r="B65" i="18"/>
  <c r="F17" i="18"/>
  <c r="G17" i="18" s="1"/>
  <c r="D71" i="18"/>
  <c r="F71" i="18" s="1"/>
  <c r="G71" i="18" s="1"/>
  <c r="D56" i="18"/>
  <c r="B28" i="18" l="1"/>
  <c r="F56" i="18"/>
  <c r="G56" i="18" s="1"/>
  <c r="G37" i="18"/>
  <c r="G51" i="18"/>
  <c r="G35" i="18"/>
  <c r="G44" i="18"/>
  <c r="G55" i="18"/>
  <c r="G47" i="18"/>
  <c r="G22" i="18"/>
  <c r="D75" i="18"/>
  <c r="F75" i="18" s="1"/>
  <c r="G75" i="18" s="1"/>
  <c r="B85" i="18"/>
  <c r="F27" i="18"/>
  <c r="G27" i="18" s="1"/>
  <c r="D28" i="18"/>
  <c r="B84" i="18"/>
  <c r="E85" i="18"/>
  <c r="F67" i="18"/>
  <c r="G67" i="18" s="1"/>
  <c r="D84" i="18"/>
  <c r="F84" i="18" s="1"/>
  <c r="G84" i="18" s="1"/>
  <c r="F18" i="18"/>
  <c r="G18" i="18" s="1"/>
  <c r="D57" i="18"/>
  <c r="D65" i="18"/>
  <c r="F65" i="18" s="1"/>
  <c r="G65" i="18" s="1"/>
  <c r="F28" i="18" l="1"/>
  <c r="D85" i="18"/>
  <c r="B151" i="18" s="1"/>
  <c r="B152" i="18" s="1"/>
  <c r="G79" i="18"/>
  <c r="D19" i="14" l="1"/>
  <c r="D18" i="14"/>
  <c r="D17" i="14"/>
  <c r="D16" i="14"/>
  <c r="D15" i="14"/>
  <c r="D14" i="14"/>
  <c r="D13" i="14"/>
  <c r="D12" i="14"/>
  <c r="D11" i="14"/>
  <c r="D76" i="8" l="1"/>
  <c r="D71" i="8"/>
  <c r="L28" i="8"/>
  <c r="F28" i="8"/>
  <c r="D70" i="8" l="1"/>
  <c r="F27" i="8"/>
  <c r="L27" i="8"/>
  <c r="H33" i="8" l="1"/>
  <c r="H76" i="8" l="1"/>
  <c r="I100" i="8" l="1"/>
  <c r="I99" i="8"/>
  <c r="H28" i="8"/>
  <c r="H27" i="8" s="1"/>
  <c r="H71" i="8"/>
  <c r="H70" i="8" s="1"/>
  <c r="I46" i="8"/>
  <c r="I101" i="8"/>
  <c r="I103" i="8"/>
  <c r="I94" i="8"/>
  <c r="I98" i="8"/>
  <c r="I89" i="8"/>
  <c r="I102" i="8"/>
  <c r="I93" i="8"/>
  <c r="I88" i="8"/>
  <c r="I95" i="8"/>
  <c r="G76" i="8" l="1"/>
  <c r="I96" i="8"/>
  <c r="I58" i="8"/>
  <c r="I57" i="8"/>
  <c r="I59" i="8"/>
  <c r="I56" i="8"/>
  <c r="G28" i="8"/>
  <c r="I54" i="8"/>
  <c r="E28" i="8"/>
  <c r="I45" i="8"/>
  <c r="I52" i="8"/>
  <c r="E33" i="8"/>
  <c r="G33" i="8"/>
  <c r="I49" i="8"/>
  <c r="I55" i="8"/>
  <c r="I51" i="8"/>
  <c r="I50" i="8"/>
  <c r="I60" i="8"/>
  <c r="I75" i="8"/>
  <c r="I79" i="8"/>
  <c r="I74" i="8"/>
  <c r="I92" i="8"/>
  <c r="I97" i="8"/>
  <c r="I68" i="8"/>
  <c r="I80" i="8"/>
  <c r="I83" i="8"/>
  <c r="I82" i="8"/>
  <c r="I78" i="8"/>
  <c r="I69" i="8"/>
  <c r="I73" i="8"/>
  <c r="E71" i="8"/>
  <c r="I72" i="8"/>
  <c r="I81" i="8"/>
  <c r="I77" i="8"/>
  <c r="G71" i="8"/>
  <c r="E27" i="8" l="1"/>
  <c r="G27" i="8"/>
  <c r="I53" i="8"/>
  <c r="I48" i="8"/>
  <c r="G70" i="8"/>
  <c r="I76" i="8"/>
  <c r="I90" i="8"/>
  <c r="I91" i="8"/>
  <c r="E70" i="8"/>
  <c r="I71" i="8"/>
  <c r="I47" i="8" l="1"/>
  <c r="I70" i="8"/>
  <c r="D16" i="9" l="1"/>
  <c r="K16" i="9"/>
  <c r="O16" i="9"/>
  <c r="R16" i="9"/>
  <c r="D21" i="9"/>
  <c r="P16" i="9"/>
  <c r="P21" i="9"/>
  <c r="I16" i="9"/>
  <c r="J16" i="9"/>
  <c r="Q16" i="9"/>
  <c r="J21" i="9"/>
  <c r="E16" i="9"/>
  <c r="F16" i="9"/>
  <c r="L16" i="9"/>
  <c r="I21" i="9"/>
  <c r="G16" i="9"/>
  <c r="H21" i="9"/>
  <c r="E21" i="9"/>
  <c r="F21" i="9"/>
  <c r="L21" i="9"/>
  <c r="Q21" i="9"/>
  <c r="N21" i="9"/>
  <c r="K21" i="9"/>
  <c r="M16" i="9"/>
  <c r="G21" i="9"/>
  <c r="M21" i="9"/>
  <c r="C16" i="9"/>
  <c r="H16" i="9"/>
  <c r="C21" i="9"/>
  <c r="N16" i="9"/>
  <c r="O21" i="9"/>
  <c r="R21" i="9"/>
  <c r="B16" i="9"/>
  <c r="E13" i="9"/>
  <c r="F13" i="9"/>
  <c r="G13" i="9"/>
  <c r="C13" i="9"/>
  <c r="B21" i="9"/>
  <c r="D13" i="9"/>
  <c r="B13" i="9"/>
  <c r="J13" i="9"/>
  <c r="K13" i="9"/>
  <c r="Q13" i="9"/>
  <c r="O13" i="9"/>
  <c r="H13" i="9"/>
  <c r="L13" i="9"/>
  <c r="M13" i="9"/>
  <c r="P13" i="9"/>
  <c r="N13" i="9"/>
  <c r="R13" i="9"/>
  <c r="I13" i="9"/>
  <c r="I15" i="9" l="1"/>
  <c r="N15" i="9"/>
  <c r="G15" i="9"/>
  <c r="M15" i="9"/>
  <c r="L15" i="9"/>
  <c r="P15" i="9"/>
  <c r="F15" i="9"/>
  <c r="E15" i="9"/>
  <c r="R15" i="9"/>
  <c r="O15" i="9"/>
  <c r="H15" i="9"/>
  <c r="Q15" i="9"/>
  <c r="K15" i="9"/>
  <c r="J15" i="9"/>
  <c r="D15" i="9"/>
  <c r="T16" i="9"/>
  <c r="T21" i="9"/>
  <c r="C15" i="9"/>
  <c r="C12" i="9" s="1"/>
  <c r="S16" i="9"/>
  <c r="S21" i="9"/>
  <c r="Q12" i="9"/>
  <c r="I12" i="9"/>
  <c r="B15" i="9"/>
  <c r="B12" i="9" s="1"/>
  <c r="T13" i="9"/>
  <c r="S13" i="9"/>
  <c r="D12" i="9" l="1"/>
  <c r="K12" i="9"/>
  <c r="T15" i="9"/>
  <c r="R12" i="9"/>
  <c r="S15" i="9"/>
  <c r="G12" i="9"/>
  <c r="M12" i="9"/>
  <c r="P12" i="9"/>
  <c r="L12" i="9"/>
  <c r="J12" i="9"/>
  <c r="H12" i="9"/>
  <c r="E12" i="9"/>
  <c r="O12" i="9"/>
  <c r="F12" i="9"/>
  <c r="N12" i="9"/>
  <c r="U21" i="9"/>
  <c r="V16" i="9"/>
  <c r="V21" i="9"/>
  <c r="U16" i="9"/>
  <c r="V13" i="9"/>
  <c r="U13" i="9"/>
  <c r="U15" i="9" l="1"/>
  <c r="V15" i="9"/>
  <c r="T12" i="9"/>
  <c r="S12" i="9"/>
  <c r="U12" i="9" l="1"/>
  <c r="V12" i="9"/>
  <c r="W16" i="9" l="1"/>
  <c r="W21" i="9"/>
  <c r="W13" i="9"/>
  <c r="W15" i="9" l="1"/>
  <c r="W12" i="9" s="1"/>
  <c r="Z13" i="9"/>
  <c r="Y13" i="9"/>
  <c r="X16" i="9" l="1"/>
  <c r="Z21" i="9"/>
  <c r="Z16" i="9"/>
  <c r="Z15" i="9" s="1"/>
  <c r="Y21" i="9"/>
  <c r="Y16" i="9"/>
  <c r="X21" i="9"/>
  <c r="X13" i="9"/>
  <c r="D11" i="8"/>
  <c r="D12" i="8"/>
  <c r="D6" i="8"/>
  <c r="E18" i="8"/>
  <c r="D14" i="8"/>
  <c r="D5" i="8"/>
  <c r="E10" i="8"/>
  <c r="D13" i="8"/>
  <c r="E17" i="8"/>
  <c r="E3" i="8"/>
  <c r="I31" i="8"/>
  <c r="I26" i="8"/>
  <c r="I32" i="8"/>
  <c r="I38" i="8"/>
  <c r="I35" i="8"/>
  <c r="I25" i="8"/>
  <c r="I39" i="8"/>
  <c r="I30" i="8"/>
  <c r="I37" i="8"/>
  <c r="I36" i="8"/>
  <c r="Y15" i="9" l="1"/>
  <c r="X15" i="9"/>
  <c r="Z12" i="9"/>
  <c r="D8" i="8"/>
  <c r="D18" i="8"/>
  <c r="D10" i="8"/>
  <c r="D15" i="8"/>
  <c r="I29" i="8"/>
  <c r="I33" i="8"/>
  <c r="I34" i="8"/>
  <c r="I40" i="8"/>
  <c r="D17" i="8"/>
  <c r="Y12" i="9" l="1"/>
  <c r="X12" i="9"/>
  <c r="I28" i="8"/>
  <c r="D7" i="8" l="1"/>
  <c r="D4" i="8"/>
  <c r="I27" i="8"/>
  <c r="D3" i="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tc={EACBA1E1-AD34-4A0B-887F-C1334526A198}</author>
  </authors>
  <commentList>
    <comment ref="K10" authorId="0" shapeId="0" xr:uid="{EACBA1E1-AD34-4A0B-887F-C1334526A198}">
      <text>
        <t>[Threaded comment]
Your version of Excel allows you to read this threaded comment; however, any edits to it will get removed if the file is opened in a newer version of Excel. Learn more: https://go.microsoft.com/fwlink/?linkid=870924
Comment:
    This budget does not include deferred portion of the project (P3028)</t>
      </text>
    </comment>
  </commentList>
</comments>
</file>

<file path=xl/sharedStrings.xml><?xml version="1.0" encoding="utf-8"?>
<sst xmlns="http://schemas.openxmlformats.org/spreadsheetml/2006/main" count="715" uniqueCount="295">
  <si>
    <t>OPERATIONAL BUDGET</t>
  </si>
  <si>
    <t>BUDGET STATEMENT OF PROFIT AND LOSS AND COMPREHENSIVE INCOME - WEM</t>
  </si>
  <si>
    <t>Table 6</t>
  </si>
  <si>
    <t>Reporting year: 2023/24</t>
  </si>
  <si>
    <t>Comparison budget: 2022/23</t>
  </si>
  <si>
    <t>Wholesale electricity market</t>
  </si>
  <si>
    <t>Non-project operational expenditure</t>
  </si>
  <si>
    <t>Non-capitalised project operational expenditure</t>
  </si>
  <si>
    <t>Total operational expenditure</t>
  </si>
  <si>
    <t>% Deviation</t>
  </si>
  <si>
    <t>Material deviation</t>
  </si>
  <si>
    <t>Revenue</t>
  </si>
  <si>
    <t>Electricity market fees</t>
  </si>
  <si>
    <t>Other revenue</t>
  </si>
  <si>
    <t>Total revenue</t>
  </si>
  <si>
    <t>Expenses</t>
  </si>
  <si>
    <t>Labour</t>
  </si>
  <si>
    <t>Internal labour</t>
  </si>
  <si>
    <t>External contractors</t>
  </si>
  <si>
    <t>Consultants</t>
  </si>
  <si>
    <t>Training</t>
  </si>
  <si>
    <t>Accommodation</t>
  </si>
  <si>
    <t>Depreciation and amortisation</t>
  </si>
  <si>
    <t>Finance costs</t>
  </si>
  <si>
    <t>IT and Telecommunications</t>
  </si>
  <si>
    <t>Cloud and distributed computing costs</t>
  </si>
  <si>
    <t>Software</t>
  </si>
  <si>
    <t>Computer hardware</t>
  </si>
  <si>
    <t>Other IT</t>
  </si>
  <si>
    <t>Fees collected on behalf of other entities</t>
  </si>
  <si>
    <t>EPWA fees</t>
  </si>
  <si>
    <t>ERA fees</t>
  </si>
  <si>
    <t>Other expenditure</t>
  </si>
  <si>
    <t>Total expenditure</t>
  </si>
  <si>
    <t>Surplus deficit for the year</t>
  </si>
  <si>
    <t>BUDGET STATEMENT OF PROFIT AND LOSS AND COMPREHENSIVE INCOME - GSI</t>
  </si>
  <si>
    <t>Table 7</t>
  </si>
  <si>
    <t>Gas Services Information</t>
  </si>
  <si>
    <t>GSI fees</t>
  </si>
  <si>
    <t>BUDGET - STATEMENT OF PROFIT AND LOSS AND COMPREHENSIVE INCOME WA OPERATIONS</t>
  </si>
  <si>
    <t>Western Australian Operations</t>
  </si>
  <si>
    <t>Tariffs and fees</t>
  </si>
  <si>
    <t>FORECAST STATEMENT OF CASH FLOWS FROM OPERATING ACTIVITIES</t>
  </si>
  <si>
    <t>Table 8</t>
  </si>
  <si>
    <t>Budget 2023/24</t>
  </si>
  <si>
    <t>Receipts</t>
  </si>
  <si>
    <t>Receipts from customers</t>
  </si>
  <si>
    <t>Receipts of participants security deposits and prepayments</t>
  </si>
  <si>
    <t>Interest received</t>
  </si>
  <si>
    <t>Payments</t>
  </si>
  <si>
    <t>Payments to suppliers and employees</t>
  </si>
  <si>
    <t>Payments for transmission network charges</t>
  </si>
  <si>
    <t>Repayment of participants security deposits and prepayments</t>
  </si>
  <si>
    <t>Interest and other finance costs paid</t>
  </si>
  <si>
    <t>Net cash inflow/(outflow) from operating activities</t>
  </si>
  <si>
    <t>Cash flows from investing activities</t>
  </si>
  <si>
    <t>Receipts for grants related to intangible assets</t>
  </si>
  <si>
    <t>Payments for plant, equipment and intangible assets</t>
  </si>
  <si>
    <t>Net cash outflow from investing activities</t>
  </si>
  <si>
    <t>Cash flows from financing activities Proceeds from borrowings</t>
  </si>
  <si>
    <t>Repayment of borrowings</t>
  </si>
  <si>
    <t>Repayment of lease liabilities</t>
  </si>
  <si>
    <t>Net cash outflow from financing activities</t>
  </si>
  <si>
    <t>Net increase/(decrease) in cash and cash equivalents</t>
  </si>
  <si>
    <t>Cash and cash equivalents at the beginning of the financial year</t>
  </si>
  <si>
    <t>Cash and cash equivalents at end of the financial year</t>
  </si>
  <si>
    <t>FORECAST STATEMENT OF FINANCIAL POSITION</t>
  </si>
  <si>
    <t>Table 9</t>
  </si>
  <si>
    <t>Assets</t>
  </si>
  <si>
    <t>Curent assets</t>
  </si>
  <si>
    <t>Cash and cash equivalents</t>
  </si>
  <si>
    <t>Receivables</t>
  </si>
  <si>
    <t>Defined benefit superannuation</t>
  </si>
  <si>
    <t>Total current assets</t>
  </si>
  <si>
    <t>Non-current assets</t>
  </si>
  <si>
    <t>Property plant and equipment</t>
  </si>
  <si>
    <t>Intangible assets</t>
  </si>
  <si>
    <t>Right of use assets</t>
  </si>
  <si>
    <t>Total non current assets</t>
  </si>
  <si>
    <t>Total assets</t>
  </si>
  <si>
    <t>Liabilities</t>
  </si>
  <si>
    <t>Current liabilities</t>
  </si>
  <si>
    <t>Payables</t>
  </si>
  <si>
    <t>Lease liability</t>
  </si>
  <si>
    <t>other liabilities</t>
  </si>
  <si>
    <t>provisions</t>
  </si>
  <si>
    <t>Employee benefits</t>
  </si>
  <si>
    <t>defined benefit superannuation</t>
  </si>
  <si>
    <t>Total current liabilities</t>
  </si>
  <si>
    <t>Non-current liabilities</t>
  </si>
  <si>
    <t>lease liability</t>
  </si>
  <si>
    <t>Borrowings</t>
  </si>
  <si>
    <t>Total non-current liabilities</t>
  </si>
  <si>
    <t>total liabilities</t>
  </si>
  <si>
    <t>Net assets/liabilties</t>
  </si>
  <si>
    <t>Equity</t>
  </si>
  <si>
    <t>Accumulated surplus/deficit</t>
  </si>
  <si>
    <t>Total equity</t>
  </si>
  <si>
    <t>Forecast statement of changes in equity</t>
  </si>
  <si>
    <t>As at 1 July 2023</t>
  </si>
  <si>
    <t>Forecast</t>
  </si>
  <si>
    <t>Opening balance as at 1 July</t>
  </si>
  <si>
    <t>Net operating deficit/surplus</t>
  </si>
  <si>
    <t>Total comprehensive deficit/surplus 30 June 2024</t>
  </si>
  <si>
    <t>Forecast depreciation schedule</t>
  </si>
  <si>
    <t>Table 10</t>
  </si>
  <si>
    <t>Year</t>
  </si>
  <si>
    <t>Forecast annual depreciation</t>
  </si>
  <si>
    <t>2023/24</t>
  </si>
  <si>
    <t>2024/25</t>
  </si>
  <si>
    <t>2025/26</t>
  </si>
  <si>
    <t>2026/27</t>
  </si>
  <si>
    <t>2027/28</t>
  </si>
  <si>
    <t>2028/29</t>
  </si>
  <si>
    <t>2029/30</t>
  </si>
  <si>
    <t>2030/31</t>
  </si>
  <si>
    <t>2031/32</t>
  </si>
  <si>
    <t>2032/33</t>
  </si>
  <si>
    <t>BUDGET - STATEMENT OF PROJECT EXPENDITURE AND CONTINGENCY</t>
  </si>
  <si>
    <t>WEM Project cost</t>
  </si>
  <si>
    <t>Capitalised projects</t>
  </si>
  <si>
    <t>Non-capitalised projects</t>
  </si>
  <si>
    <t>Project cost</t>
  </si>
  <si>
    <t>Growth</t>
  </si>
  <si>
    <t>Asset replacement and renewal</t>
  </si>
  <si>
    <t>Improvement in service</t>
  </si>
  <si>
    <t>Compliance</t>
  </si>
  <si>
    <t>Corporate</t>
  </si>
  <si>
    <t>GSI Project cost</t>
  </si>
  <si>
    <t>Contingency</t>
  </si>
  <si>
    <t>WEM</t>
  </si>
  <si>
    <t>GSI</t>
  </si>
  <si>
    <t>WEM PROJECTS</t>
  </si>
  <si>
    <t>CAPITALISED PROJECTS</t>
  </si>
  <si>
    <t>NON-CAPITALISED PROJECTS</t>
  </si>
  <si>
    <t>Table 2</t>
  </si>
  <si>
    <t>Table 3</t>
  </si>
  <si>
    <t>SUMMARY TOTALS</t>
  </si>
  <si>
    <t>Capitalised projects with budget &lt;$0.5m</t>
  </si>
  <si>
    <t>Total</t>
  </si>
  <si>
    <t>Non-Capitalised projects with budget &lt;$0.5m</t>
  </si>
  <si>
    <t>Non-capitalised</t>
  </si>
  <si>
    <t>Number of projects</t>
  </si>
  <si>
    <t>Total project budget</t>
  </si>
  <si>
    <t>Forecast project expenditure within reporting year</t>
  </si>
  <si>
    <t>This table will self populate from budget project list</t>
  </si>
  <si>
    <t>Capitalised projects with expenditure &gt;$0.5m</t>
  </si>
  <si>
    <t>Non-Capitalised projects with expenditure &gt;$0.5m</t>
  </si>
  <si>
    <t>Non-capitalised project</t>
  </si>
  <si>
    <t>GSI PROJECTS</t>
  </si>
  <si>
    <t>Table 4</t>
  </si>
  <si>
    <t>Table 5</t>
  </si>
  <si>
    <t>Note: The tables above exclude corporate projects from the major project list tab for those projects that include an allocation of costs to both WEM &amp; GSI</t>
  </si>
  <si>
    <t>BUDGET MAJOR PROJECT LIST</t>
  </si>
  <si>
    <t>This only applies to projects with a total cost greater than $500,000</t>
  </si>
  <si>
    <t>TABLE 1</t>
  </si>
  <si>
    <t>Project listing --&gt;</t>
  </si>
  <si>
    <t>Business function</t>
  </si>
  <si>
    <t>WEM &amp; GSI</t>
  </si>
  <si>
    <t>Project title</t>
  </si>
  <si>
    <t>Digital Cyber Security Stream</t>
  </si>
  <si>
    <t>Finance and Procurement System Replacement</t>
  </si>
  <si>
    <t>WEM Reform - Core Team</t>
  </si>
  <si>
    <t>Project Symphony (DER Marketplace Orchestration)</t>
  </si>
  <si>
    <t>WEM Reform - Dispatch Engine (WEMDE)</t>
  </si>
  <si>
    <t>WEM Reform - Integration</t>
  </si>
  <si>
    <t>WEM Reform - Compliance Reporting</t>
  </si>
  <si>
    <t>WEM Reform - RCM Reform</t>
  </si>
  <si>
    <t>WEM Reform - Digital Platform Enablement</t>
  </si>
  <si>
    <t>WEM Reform - Outage Management</t>
  </si>
  <si>
    <t>WEM Reform - Settlements Reform</t>
  </si>
  <si>
    <t>WEM Reform - Registrations Reform</t>
  </si>
  <si>
    <t>WEM Reform - Dispatch Engine User Interface (WEMDE-UI)</t>
  </si>
  <si>
    <t>Oracle Platform Subscription</t>
  </si>
  <si>
    <t>WEM Reform - MT PASA</t>
  </si>
  <si>
    <t>WEM Reform - Forecast Integration</t>
  </si>
  <si>
    <t>WEM Reform - ST PASA Reform</t>
  </si>
  <si>
    <t>WEM Reform - E2E Testing &amp; Market Trial</t>
  </si>
  <si>
    <t>AEMO -  8. EVs in DER</t>
  </si>
  <si>
    <t>AEMO -  4. Part. Implementation</t>
  </si>
  <si>
    <t>PASA Enhancements</t>
  </si>
  <si>
    <t>Outage and CTP Enhancements</t>
  </si>
  <si>
    <t>DTS Integration &amp; SCED Offline Tools Phase 2</t>
  </si>
  <si>
    <t>RCM Phase 4</t>
  </si>
  <si>
    <t>Five Minute Settlement (5MS)</t>
  </si>
  <si>
    <t>Capitalisation status</t>
  </si>
  <si>
    <t>Capitalised</t>
  </si>
  <si>
    <t>Project scope</t>
  </si>
  <si>
    <t>AEMO’s Cyber Program objectives are to:
•	Reduce the risk of malicious or accidental misuse of AEMO’s systems due to an internal or external cyber threats.
•	Address gaps in compliance obligations under the Security of Critical Infrastructure Act and associated frameworks.
•	Maintain cyber security technology currency and capacity while addressing evolving threats.</t>
  </si>
  <si>
    <t xml:space="preserve">Uplift Finance capability through the implementation of the Microsoft Dynamics (D365).  The project will replace several outdated legacy finance and procurement systems. </t>
  </si>
  <si>
    <t>This project provides program management oversight, change management and training coordination for the WEM Reform Program.</t>
  </si>
  <si>
    <t>As outlined in Section 2.1.6 of AEMO’s Adjustment to 2019-22 Forecast Capital Expenditure to implement the DER Roadmap, Project Symphony’s scope is to deliver a VPP pilot to test and demonstrate technical capability of aggregated DER and its potential to participate in the market whilst also providing network support services to Western Power. Project Symphony is a collaborative project between AEMO, Western Power and Synergy necessary to design the operational model for DER orchestration in the WEM and SWIS.</t>
  </si>
  <si>
    <t>The WEM Dispatch Engine (WEMDE) replaces the current Real Time Dispatch Engine and is the integral solution to enabling the new real time market and cooptimisation of ESS.</t>
  </si>
  <si>
    <t>The Integration Project integrates systems (~130 system interfaces) delivered by projects that have closed and supports increased interface development efficiency.</t>
  </si>
  <si>
    <t>Capability for monitoring operational compliance from AEMO and participants focused on market effectiveness and market monitoring requirements of EPWA and the ERA</t>
  </si>
  <si>
    <t>Reserve Capacity Mechanism reform objecive is to assess the capacity contribution of Facilities and allow new technologies, including energy storage, to fully participate.</t>
  </si>
  <si>
    <t>Design and guide platform implementation that will be enablers for the business-facing WEM Reform projects, including cloud platforms, and leveraging AEMO’s Digital Strategy.</t>
  </si>
  <si>
    <t xml:space="preserve">Deliver a outage management interface which will standardise the look and feel, accommodate changes to outage submissions and replace the legacy application. </t>
  </si>
  <si>
    <t>The Project will update settlement systems and processes to reflect the new WEM settlement formulas and timelines.</t>
  </si>
  <si>
    <t>Undertake changes necessary to support the new Registration taxonomy including the Registration portal, form management  processes, Standing Data, and reporting.</t>
  </si>
  <si>
    <t>The WEMDE UI Project will deliver the new User Interface (UI) that AEMO’s Power System Operations (PSO) Controllers will use to coordinate Dispatch in the Control Room.</t>
  </si>
  <si>
    <t>AEMO has an extensive Oracle footprint. This is especially true of applications used to support the WEM and WA business processes. AEMO’s Oracle environment is currently hosted in AEMO data centres using infrastructure procured, managed and maintained by AEMO’s digital support teams. These databases are hosted on virtual servers which are in turn hosted on a cluster of physical servers. These physical servers will reach their end-of-life during the AR6 period and AEMO will no longer be able to receive an appropriate level of vendor support</t>
  </si>
  <si>
    <t>Medium Term PASA (MT PASA) is an assessment of risks to system security and reliability over a 3 year ahead horizon used to identify low reserve conditions for outage planning.</t>
  </si>
  <si>
    <t xml:space="preserve">​​​​​​​​​​​​​​The Project will implement changes to the current forecast models and the underlying architecture to deliver forecast data required by AEMO. </t>
  </si>
  <si>
    <t xml:space="preserve">Short Term Projected Assessment of System Adequacy (ST PASA) is weekly assessment of risks to power system security and reliability used to identify low reserve conditions. </t>
  </si>
  <si>
    <t>Deployment of systems and, capabilities to execute new WEM rules and improve level of control AEMO and other market participants have over the grid.</t>
  </si>
  <si>
    <t>Include electric vehicle data in the DER Register. This project will provide opportunity to draw on the DER Register systems to commence the data capture for EVs during their early growth phase in WA.</t>
  </si>
  <si>
    <t>Build the interfaces with WEM systems to enable DER aggregators to participate in the WEM and facilitate changes to existing systems.</t>
  </si>
  <si>
    <t xml:space="preserve">The ST PASA (P2219) and MT PASA (P2216) Reform projects will deliver a minimum viable solution for go-live that will provide a simplified view of the respective PASA horizons. This project will expand the scenarios, validations and assessment processes to objectively assess the risk to the power system and provide adequate certainty for AEMO and Market Participants. </t>
  </si>
  <si>
    <t>The Outage Management Reform project (P2105) was required to descope functionality that was sought by Market Participants to reduce the impact on their processes. This project will introduce the requested API functionality for Market Participants, expand the validation and assessment process, and deliver the Outage Intention Plan functionality that will be required by March 2025 for AEMO and Market Participants to meet their obligations</t>
  </si>
  <si>
    <t>This project delivers applications used to simulate non-real time WEMDE run, including past dispatch intervals, for both internal AEMO and external AEMO.</t>
  </si>
  <si>
    <t>To meet five-minute settlement milestone identified by the Energy Transformation Taskforce, this project will determine the modifications required to AEMOs metering and settlement systems. A funding submission will then be made via in-period capex submission for FY25.</t>
  </si>
  <si>
    <t>Project Number</t>
  </si>
  <si>
    <t>P1585</t>
  </si>
  <si>
    <t>P1887</t>
  </si>
  <si>
    <t>P1851</t>
  </si>
  <si>
    <t>P1978</t>
  </si>
  <si>
    <t>P2079</t>
  </si>
  <si>
    <t>P2080</t>
  </si>
  <si>
    <t>P2081</t>
  </si>
  <si>
    <t>P2108</t>
  </si>
  <si>
    <t>P2083</t>
  </si>
  <si>
    <t>P2105</t>
  </si>
  <si>
    <t>P2106</t>
  </si>
  <si>
    <t>P2107</t>
  </si>
  <si>
    <t>P2170</t>
  </si>
  <si>
    <t>P2179</t>
  </si>
  <si>
    <t>P2216</t>
  </si>
  <si>
    <t>P2217</t>
  </si>
  <si>
    <t>P2219</t>
  </si>
  <si>
    <t>P2306</t>
  </si>
  <si>
    <t>P2326</t>
  </si>
  <si>
    <t>NEW23</t>
  </si>
  <si>
    <t>P3029</t>
  </si>
  <si>
    <t>P3028</t>
  </si>
  <si>
    <t>Pxxx3</t>
  </si>
  <si>
    <t>Pxxx4</t>
  </si>
  <si>
    <t>TBC</t>
  </si>
  <si>
    <t>Expenditure to date</t>
  </si>
  <si>
    <t>Budget checksum</t>
  </si>
  <si>
    <t>Asset check</t>
  </si>
  <si>
    <t>Asset class</t>
  </si>
  <si>
    <t>Expenditure in reporting year</t>
  </si>
  <si>
    <t>Opening % complete</t>
  </si>
  <si>
    <t>Closing % complete</t>
  </si>
  <si>
    <t>Q1 milestones</t>
  </si>
  <si>
    <t>Finalise cyber security strategy and prioritise specific cyber risk initiatives for delivery in FY24</t>
  </si>
  <si>
    <t>Partner selection</t>
  </si>
  <si>
    <t>Complete recommendations reports</t>
  </si>
  <si>
    <t>Physical Build</t>
  </si>
  <si>
    <t>Finalise technical specifications</t>
  </si>
  <si>
    <t>Consultants engaged &amp; work commences.</t>
  </si>
  <si>
    <t>Q2 Milestones</t>
  </si>
  <si>
    <t xml:space="preserve">Deliver key initiatives identified in Q1 milestones.
</t>
  </si>
  <si>
    <t>Complete solutions build</t>
  </si>
  <si>
    <r>
      <t>New Market go live - 1</t>
    </r>
    <r>
      <rPr>
        <vertAlign val="superscript"/>
        <sz val="11"/>
        <color theme="1"/>
        <rFont val="Calibri"/>
        <family val="2"/>
        <scheme val="minor"/>
      </rPr>
      <t>st</t>
    </r>
    <r>
      <rPr>
        <sz val="11"/>
        <color theme="1"/>
        <rFont val="Calibri"/>
        <family val="2"/>
        <scheme val="minor"/>
      </rPr>
      <t xml:space="preserve"> October 2023</t>
    </r>
  </si>
  <si>
    <t>Project completion</t>
  </si>
  <si>
    <t>Platform configuration and testing</t>
  </si>
  <si>
    <t>Commence planning</t>
  </si>
  <si>
    <t>Project kick off post go live of new market.</t>
  </si>
  <si>
    <t>Project scope &amp; funding approved by Investment Committee.</t>
  </si>
  <si>
    <t>Q3 Milestones</t>
  </si>
  <si>
    <t>Complete systems testing</t>
  </si>
  <si>
    <t>Upgrades to MVP (minimum viable product) post go-live</t>
  </si>
  <si>
    <t>N/A</t>
  </si>
  <si>
    <t>Upgrades to MVP post go-live</t>
  </si>
  <si>
    <t>Transition to project P3028</t>
  </si>
  <si>
    <t>Transition to project P3029</t>
  </si>
  <si>
    <t>Transition to project PXXX4</t>
  </si>
  <si>
    <t>Service Transition
DB migration and testing</t>
  </si>
  <si>
    <t>In-period submission to ERA</t>
  </si>
  <si>
    <t>Q4 Milestones</t>
  </si>
  <si>
    <t>Training and go-live preparation</t>
  </si>
  <si>
    <t>DB Cutover &amp; Go-Live</t>
  </si>
  <si>
    <t>Commence technical design</t>
  </si>
  <si>
    <t>Contingency ($)</t>
  </si>
  <si>
    <t>Due to enter service (date)</t>
  </si>
  <si>
    <t>Asset life (years)</t>
  </si>
  <si>
    <t>Allowable revenue period</t>
  </si>
  <si>
    <t>AR6</t>
  </si>
  <si>
    <t>AR7</t>
  </si>
  <si>
    <t>AR8</t>
  </si>
  <si>
    <t>Financial year</t>
  </si>
  <si>
    <t>Previous budget year</t>
  </si>
  <si>
    <t>Opening year</t>
  </si>
  <si>
    <t>2022/23</t>
  </si>
  <si>
    <t>2021/22</t>
  </si>
  <si>
    <t>Market</t>
  </si>
  <si>
    <t>Version</t>
  </si>
  <si>
    <t>V1</t>
  </si>
  <si>
    <t>Version sent for stress testing</t>
  </si>
  <si>
    <t>V1.1</t>
  </si>
  <si>
    <t>Clean version included in RWM</t>
  </si>
  <si>
    <t>V1.2</t>
  </si>
  <si>
    <t xml:space="preserve">Clean version with project financing added to cost categories.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</si>
</sst>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_(&quot;$&quot;* \(#,##0.00\);_(&quot;$&quot;* &quot;-&quot;??_);_(@_)"/>
    <numFmt numFmtId="164" formatCode="_-* #,##0.00_-;\-* #,##0.00_-;_-* &quot;-&quot;??_-;_-@_-"/>
    <numFmt numFmtId="165" formatCode="_(#,##0_);\(#,##0\);_(&quot;-&quot;_);_)@_)"/>
    <numFmt numFmtId="166" formatCode="_-* #,##0_-;\-* #,##0_-;_-* &quot;-&quot;??_-;_-@_-"/>
    <numFmt numFmtId="167" formatCode="_-* #,##0.0_-;\-* #,##0.0_-;_-* &quot;-&quot;??_-;_-@_-"/>
    <numFmt numFmtId="168" formatCode="&quot;$&quot;#,##0"/>
    <numFmt numFmtId="169" formatCode="_(###0_);\(###0\);_(&quot;-&quot;_);_)@_)"/>
    <numFmt numFmtId="170" formatCode="_)d\-mmm\-yy_);_)d\-mmm\-yy_);_)&quot;-&quot;_);_)@_)"/>
  </numFmts>
  <fonts count="23">
    <font>
      <sz val="11"/>
      <color theme="1"/>
      <name val="Calibri"/>
      <family val="2"/>
      <scheme val="minor"/>
    </font>
    <font>
      <sz val="11"/>
      <color theme="1"/>
      <name val="Calibri"/>
      <family val="2"/>
      <scheme val="minor"/>
    </font>
    <font>
      <sz val="9"/>
      <color theme="1" tint="0.24994659260841701"/>
      <name val="Calibri"/>
      <family val="2"/>
      <scheme val="minor"/>
    </font>
    <font>
      <sz val="9"/>
      <color theme="4" tint="-0.49995422223578601"/>
      <name val="Calibri"/>
      <family val="2"/>
      <scheme val="minor"/>
    </font>
    <font>
      <sz val="11"/>
      <color rgb="FFFF0000"/>
      <name val="Calibri"/>
      <family val="2"/>
      <scheme val="minor"/>
    </font>
    <font>
      <b/>
      <sz val="11"/>
      <color theme="1"/>
      <name val="Calibri"/>
      <family val="2"/>
      <scheme val="minor"/>
    </font>
    <font>
      <b/>
      <sz val="16"/>
      <color theme="1"/>
      <name val="Calibri"/>
      <family val="2"/>
      <scheme val="minor"/>
    </font>
    <font>
      <b/>
      <sz val="14"/>
      <color theme="1"/>
      <name val="Calibri"/>
      <family val="2"/>
      <scheme val="minor"/>
    </font>
    <font>
      <sz val="9"/>
      <color theme="0" tint="-0.34998626667073579"/>
      <name val="Calibri"/>
      <family val="2"/>
      <scheme val="minor"/>
    </font>
    <font>
      <i/>
      <sz val="11"/>
      <color theme="1"/>
      <name val="Calibri"/>
      <family val="2"/>
      <scheme val="minor"/>
    </font>
    <font>
      <sz val="12"/>
      <color theme="1"/>
      <name val="Calibri"/>
      <family val="2"/>
      <scheme val="minor"/>
    </font>
    <font>
      <sz val="9"/>
      <color rgb="FFFFFFFF"/>
      <name val="Calibri"/>
      <family val="2"/>
      <scheme val="minor"/>
    </font>
    <font>
      <sz val="9"/>
      <color theme="1" tint="0.24994659260841701"/>
      <name val="Calibri Light"/>
      <family val="2"/>
      <scheme val="major"/>
    </font>
    <font>
      <sz val="9"/>
      <color rgb="FFFFFFFF"/>
      <name val="Calibri Light"/>
      <family val="2"/>
      <scheme val="major"/>
    </font>
    <font>
      <b/>
      <sz val="9"/>
      <color rgb="FF203764"/>
      <name val="Calibri Light"/>
      <family val="2"/>
      <scheme val="major"/>
    </font>
    <font>
      <b/>
      <sz val="9"/>
      <color theme="1" tint="0.24994659260841701"/>
      <name val="Calibri Light"/>
      <family val="2"/>
      <scheme val="major"/>
    </font>
    <font>
      <vertAlign val="superscript"/>
      <sz val="11"/>
      <color theme="1"/>
      <name val="Calibri"/>
      <family val="2"/>
      <scheme val="minor"/>
    </font>
    <font>
      <sz val="9"/>
      <color theme="4" tint="-0.49992370372631001"/>
      <name val="Calibri"/>
      <family val="2"/>
      <scheme val="minor"/>
    </font>
    <font>
      <sz val="9"/>
      <color theme="0"/>
      <name val="Calibri"/>
      <family val="2"/>
      <scheme val="minor"/>
    </font>
    <font>
      <sz val="9"/>
      <color theme="0"/>
      <name val="Calibri Light"/>
      <family val="2"/>
      <scheme val="major"/>
    </font>
    <font>
      <b/>
      <sz val="9"/>
      <color theme="0"/>
      <name val="Calibri Light"/>
      <family val="2"/>
      <scheme val="major"/>
    </font>
    <font>
      <b/>
      <sz val="16"/>
      <color theme="0"/>
      <name val="Calibri"/>
      <family val="2"/>
      <scheme val="minor"/>
    </font>
    <font>
      <sz val="16"/>
      <color theme="1"/>
      <name val="Calibri"/>
      <family val="2"/>
      <scheme val="minor"/>
    </font>
  </fonts>
  <fills count="15">
    <fill>
      <patternFill patternType="none"/>
    </fill>
    <fill>
      <patternFill patternType="gray125"/>
    </fill>
    <fill>
      <patternFill patternType="solid">
        <fgColor theme="4" tint="0.79998168889431442"/>
        <bgColor indexed="64"/>
      </patternFill>
    </fill>
    <fill>
      <patternFill patternType="solid">
        <fgColor theme="9" tint="0.79998168889431442"/>
        <bgColor indexed="64"/>
      </patternFill>
    </fill>
    <fill>
      <patternFill patternType="solid">
        <fgColor theme="0"/>
        <bgColor indexed="64"/>
      </patternFill>
    </fill>
    <fill>
      <patternFill patternType="solid">
        <fgColor theme="9" tint="0.59999389629810485"/>
        <bgColor indexed="64"/>
      </patternFill>
    </fill>
    <fill>
      <patternFill patternType="solid">
        <fgColor theme="2" tint="-9.9978637043366805E-2"/>
        <bgColor indexed="64"/>
      </patternFill>
    </fill>
    <fill>
      <patternFill patternType="solid">
        <fgColor theme="2" tint="-0.249977111117893"/>
        <bgColor indexed="64"/>
      </patternFill>
    </fill>
    <fill>
      <patternFill patternType="solid">
        <fgColor theme="5"/>
        <bgColor indexed="64"/>
      </patternFill>
    </fill>
    <fill>
      <patternFill patternType="solid">
        <fgColor rgb="FFE3E9F5"/>
        <bgColor indexed="64"/>
      </patternFill>
    </fill>
    <fill>
      <patternFill patternType="solid">
        <fgColor rgb="FFED7D31"/>
        <bgColor rgb="FF000000"/>
      </patternFill>
    </fill>
    <fill>
      <patternFill patternType="solid">
        <fgColor rgb="FF4472C4"/>
        <bgColor rgb="FF000000"/>
      </patternFill>
    </fill>
    <fill>
      <patternFill patternType="solid">
        <fgColor rgb="FFA5A5A5"/>
        <bgColor rgb="FF000000"/>
      </patternFill>
    </fill>
    <fill>
      <patternFill patternType="solid">
        <fgColor theme="4"/>
        <bgColor indexed="64"/>
      </patternFill>
    </fill>
    <fill>
      <patternFill patternType="solid">
        <fgColor theme="6"/>
        <bgColor indexed="64"/>
      </patternFill>
    </fill>
  </fills>
  <borders count="68">
    <border>
      <left/>
      <right/>
      <top/>
      <bottom/>
      <diagonal/>
    </border>
    <border>
      <left style="thin">
        <color theme="4" tint="0.39997558519241921"/>
      </left>
      <right style="thin">
        <color theme="4" tint="0.39997558519241921"/>
      </right>
      <top style="thin">
        <color theme="4" tint="0.39997558519241921"/>
      </top>
      <bottom style="thin">
        <color theme="4" tint="0.39997558519241921"/>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diagonalUp="1">
      <left style="thin">
        <color indexed="64"/>
      </left>
      <right style="thin">
        <color indexed="64"/>
      </right>
      <top style="medium">
        <color indexed="64"/>
      </top>
      <bottom style="thin">
        <color indexed="64"/>
      </bottom>
      <diagonal style="thin">
        <color auto="1"/>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auto="1"/>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auto="1"/>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style="medium">
        <color indexed="64"/>
      </left>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style="medium">
        <color indexed="64"/>
      </right>
      <top style="thin">
        <color indexed="64"/>
      </top>
      <bottom/>
      <diagonal/>
    </border>
    <border>
      <left style="medium">
        <color indexed="64"/>
      </left>
      <right/>
      <top style="thin">
        <color indexed="64"/>
      </top>
      <bottom style="medium">
        <color indexed="64"/>
      </bottom>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diagonal/>
    </border>
    <border>
      <left style="thin">
        <color indexed="64"/>
      </left>
      <right style="medium">
        <color indexed="64"/>
      </right>
      <top/>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style="thin">
        <color indexed="64"/>
      </right>
      <top/>
      <bottom/>
      <diagonal/>
    </border>
    <border>
      <left style="thin">
        <color indexed="64"/>
      </left>
      <right/>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right/>
      <top/>
      <bottom style="thin">
        <color rgb="FF203764"/>
      </bottom>
      <diagonal/>
    </border>
    <border>
      <left style="medium">
        <color indexed="64"/>
      </left>
      <right style="thin">
        <color indexed="64"/>
      </right>
      <top style="thin">
        <color indexed="64"/>
      </top>
      <bottom/>
      <diagonal/>
    </border>
    <border>
      <left/>
      <right/>
      <top/>
      <bottom style="thin">
        <color theme="4" tint="-0.49992370372631001"/>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s>
  <cellStyleXfs count="21">
    <xf numFmtId="0" fontId="0" fillId="0" borderId="0"/>
    <xf numFmtId="164" fontId="1" fillId="0" borderId="0" applyFont="0" applyFill="0" applyBorder="0" applyAlignment="0" applyProtection="0"/>
    <xf numFmtId="9" fontId="1" fillId="0" borderId="0" applyFont="0" applyFill="0" applyBorder="0" applyAlignment="0" applyProtection="0"/>
    <xf numFmtId="165" fontId="2" fillId="0" borderId="0" applyFill="0" applyBorder="0">
      <alignment vertical="center"/>
    </xf>
    <xf numFmtId="0" fontId="2" fillId="0" borderId="0" applyFill="0" applyBorder="0">
      <alignment vertical="center"/>
    </xf>
    <xf numFmtId="0" fontId="3" fillId="2" borderId="1">
      <alignment vertical="center"/>
      <protection locked="0"/>
    </xf>
    <xf numFmtId="164" fontId="1" fillId="0" borderId="0" applyFont="0" applyFill="0" applyBorder="0" applyAlignment="0" applyProtection="0"/>
    <xf numFmtId="164" fontId="1" fillId="0" borderId="0" applyFont="0" applyFill="0" applyBorder="0" applyAlignment="0" applyProtection="0"/>
    <xf numFmtId="0" fontId="10" fillId="0" borderId="0"/>
    <xf numFmtId="44" fontId="10" fillId="0" borderId="0" applyFont="0" applyFill="0" applyBorder="0" applyAlignment="0" applyProtection="0"/>
    <xf numFmtId="0" fontId="11" fillId="10" borderId="0" applyBorder="0">
      <alignment vertical="center"/>
    </xf>
    <xf numFmtId="0" fontId="12" fillId="0" borderId="0" applyFill="0" applyBorder="0">
      <alignment vertical="center"/>
    </xf>
    <xf numFmtId="170" fontId="2" fillId="0" borderId="0" applyFill="0" applyBorder="0">
      <alignment vertical="center"/>
    </xf>
    <xf numFmtId="169" fontId="2" fillId="0" borderId="0" applyFill="0" applyBorder="0">
      <alignment vertical="center"/>
    </xf>
    <xf numFmtId="0" fontId="13" fillId="11" borderId="0" applyBorder="0">
      <alignment vertical="center"/>
    </xf>
    <xf numFmtId="0" fontId="14" fillId="12" borderId="62">
      <alignment vertical="center"/>
    </xf>
    <xf numFmtId="0" fontId="15" fillId="0" borderId="0" applyFill="0" applyBorder="0">
      <alignment vertical="center"/>
    </xf>
    <xf numFmtId="170" fontId="17" fillId="2" borderId="1">
      <alignment vertical="center"/>
      <protection locked="0"/>
    </xf>
    <xf numFmtId="0" fontId="18" fillId="8" borderId="0" applyBorder="0">
      <alignment vertical="center"/>
    </xf>
    <xf numFmtId="0" fontId="19" fillId="13" borderId="0" applyBorder="0">
      <alignment vertical="center"/>
    </xf>
    <xf numFmtId="0" fontId="20" fillId="14" borderId="64">
      <alignment vertical="center"/>
    </xf>
  </cellStyleXfs>
  <cellXfs count="289">
    <xf numFmtId="0" fontId="0" fillId="0" borderId="0" xfId="0"/>
    <xf numFmtId="0" fontId="6" fillId="0" borderId="0" xfId="0" applyFont="1" applyAlignment="1">
      <alignment vertical="top"/>
    </xf>
    <xf numFmtId="0" fontId="0" fillId="0" borderId="0" xfId="0" applyAlignment="1">
      <alignment horizontal="center" vertical="top" wrapText="1"/>
    </xf>
    <xf numFmtId="0" fontId="0" fillId="0" borderId="0" xfId="0" applyAlignment="1">
      <alignment horizontal="center" vertical="top"/>
    </xf>
    <xf numFmtId="0" fontId="0" fillId="0" borderId="0" xfId="0" applyAlignment="1">
      <alignment vertical="top"/>
    </xf>
    <xf numFmtId="0" fontId="7" fillId="0" borderId="0" xfId="0" applyFont="1" applyAlignment="1">
      <alignment vertical="top"/>
    </xf>
    <xf numFmtId="0" fontId="5" fillId="0" borderId="3" xfId="0" applyFont="1" applyBorder="1" applyAlignment="1">
      <alignment horizontal="left" vertical="top" wrapText="1"/>
    </xf>
    <xf numFmtId="0" fontId="5" fillId="0" borderId="10" xfId="0" applyFont="1" applyBorder="1" applyAlignment="1">
      <alignment horizontal="center" vertical="top" wrapText="1"/>
    </xf>
    <xf numFmtId="0" fontId="5" fillId="0" borderId="11" xfId="0" applyFont="1" applyBorder="1" applyAlignment="1">
      <alignment horizontal="center" vertical="top" wrapText="1"/>
    </xf>
    <xf numFmtId="0" fontId="5" fillId="0" borderId="12" xfId="0" applyFont="1" applyBorder="1" applyAlignment="1">
      <alignment horizontal="center" vertical="top" wrapText="1"/>
    </xf>
    <xf numFmtId="0" fontId="0" fillId="0" borderId="0" xfId="0" applyAlignment="1">
      <alignment horizontal="left" vertical="top" wrapText="1"/>
    </xf>
    <xf numFmtId="0" fontId="0" fillId="0" borderId="0" xfId="0" applyAlignment="1">
      <alignment vertical="top" wrapText="1"/>
    </xf>
    <xf numFmtId="0" fontId="5" fillId="6" borderId="13" xfId="0" applyFont="1" applyFill="1" applyBorder="1" applyAlignment="1">
      <alignment vertical="top"/>
    </xf>
    <xf numFmtId="0" fontId="0" fillId="6" borderId="7" xfId="0" applyFill="1" applyBorder="1" applyAlignment="1">
      <alignment horizontal="center" vertical="top" wrapText="1"/>
    </xf>
    <xf numFmtId="0" fontId="0" fillId="6" borderId="14" xfId="0" applyFill="1" applyBorder="1" applyAlignment="1">
      <alignment horizontal="center" vertical="top" wrapText="1"/>
    </xf>
    <xf numFmtId="0" fontId="0" fillId="6" borderId="9" xfId="0" applyFill="1" applyBorder="1" applyAlignment="1">
      <alignment horizontal="center" vertical="top" wrapText="1"/>
    </xf>
    <xf numFmtId="9" fontId="0" fillId="6" borderId="8" xfId="2" applyFont="1" applyFill="1" applyBorder="1" applyAlignment="1">
      <alignment horizontal="center" vertical="top"/>
    </xf>
    <xf numFmtId="0" fontId="0" fillId="6" borderId="9" xfId="0" applyFill="1" applyBorder="1" applyAlignment="1">
      <alignment horizontal="center" vertical="top"/>
    </xf>
    <xf numFmtId="0" fontId="0" fillId="0" borderId="0" xfId="0" applyAlignment="1">
      <alignment horizontal="left" vertical="top"/>
    </xf>
    <xf numFmtId="0" fontId="0" fillId="3" borderId="15" xfId="0" applyFill="1" applyBorder="1" applyAlignment="1">
      <alignment horizontal="left" vertical="top" indent="1"/>
    </xf>
    <xf numFmtId="0" fontId="0" fillId="3" borderId="16" xfId="0" applyFill="1" applyBorder="1" applyAlignment="1" applyProtection="1">
      <alignment horizontal="center" vertical="top" wrapText="1"/>
      <protection locked="0"/>
    </xf>
    <xf numFmtId="0" fontId="0" fillId="6" borderId="17" xfId="0" applyFill="1" applyBorder="1" applyAlignment="1">
      <alignment horizontal="center" vertical="top" wrapText="1"/>
    </xf>
    <xf numFmtId="0" fontId="0" fillId="6" borderId="18" xfId="0" applyFill="1" applyBorder="1" applyAlignment="1">
      <alignment horizontal="center" vertical="top" wrapText="1"/>
    </xf>
    <xf numFmtId="0" fontId="0" fillId="6" borderId="16" xfId="0" applyFill="1" applyBorder="1" applyAlignment="1">
      <alignment horizontal="center" vertical="top" wrapText="1"/>
    </xf>
    <xf numFmtId="9" fontId="0" fillId="6" borderId="2" xfId="2" applyFont="1" applyFill="1" applyBorder="1" applyAlignment="1">
      <alignment horizontal="center" vertical="top"/>
    </xf>
    <xf numFmtId="0" fontId="0" fillId="6" borderId="18" xfId="0" applyFill="1" applyBorder="1" applyAlignment="1">
      <alignment horizontal="center" vertical="top"/>
    </xf>
    <xf numFmtId="0" fontId="5" fillId="6" borderId="19" xfId="0" applyFont="1" applyFill="1" applyBorder="1" applyAlignment="1">
      <alignment vertical="top"/>
    </xf>
    <xf numFmtId="0" fontId="0" fillId="6" borderId="20" xfId="0" applyFill="1" applyBorder="1" applyAlignment="1">
      <alignment horizontal="center" vertical="top" wrapText="1"/>
    </xf>
    <xf numFmtId="0" fontId="0" fillId="6" borderId="12" xfId="0" applyFill="1" applyBorder="1" applyAlignment="1">
      <alignment horizontal="center" vertical="top" wrapText="1"/>
    </xf>
    <xf numFmtId="9" fontId="0" fillId="6" borderId="11" xfId="2" applyFont="1" applyFill="1" applyBorder="1" applyAlignment="1">
      <alignment horizontal="center" vertical="top"/>
    </xf>
    <xf numFmtId="0" fontId="0" fillId="6" borderId="12" xfId="0" applyFill="1" applyBorder="1" applyAlignment="1">
      <alignment horizontal="center" vertical="top"/>
    </xf>
    <xf numFmtId="0" fontId="5" fillId="6" borderId="21" xfId="0" applyFont="1" applyFill="1" applyBorder="1" applyAlignment="1">
      <alignment vertical="top"/>
    </xf>
    <xf numFmtId="0" fontId="0" fillId="6" borderId="22" xfId="0" applyFill="1" applyBorder="1" applyAlignment="1">
      <alignment horizontal="center" vertical="top" wrapText="1"/>
    </xf>
    <xf numFmtId="0" fontId="0" fillId="6" borderId="23" xfId="0" applyFill="1" applyBorder="1" applyAlignment="1">
      <alignment horizontal="center" vertical="top" wrapText="1"/>
    </xf>
    <xf numFmtId="0" fontId="0" fillId="6" borderId="24" xfId="0" applyFill="1" applyBorder="1" applyAlignment="1">
      <alignment horizontal="center" vertical="top" wrapText="1"/>
    </xf>
    <xf numFmtId="9" fontId="0" fillId="6" borderId="23" xfId="2" applyFont="1" applyFill="1" applyBorder="1" applyAlignment="1">
      <alignment horizontal="center" vertical="top"/>
    </xf>
    <xf numFmtId="0" fontId="0" fillId="6" borderId="24" xfId="0" applyFill="1" applyBorder="1" applyAlignment="1">
      <alignment horizontal="center" vertical="top"/>
    </xf>
    <xf numFmtId="0" fontId="0" fillId="6" borderId="15" xfId="0" applyFill="1" applyBorder="1" applyAlignment="1">
      <alignment horizontal="left" vertical="top"/>
    </xf>
    <xf numFmtId="0" fontId="0" fillId="6" borderId="2" xfId="0" applyFill="1" applyBorder="1" applyAlignment="1">
      <alignment horizontal="center" vertical="top" wrapText="1"/>
    </xf>
    <xf numFmtId="0" fontId="0" fillId="5" borderId="15" xfId="0" applyFill="1" applyBorder="1" applyAlignment="1">
      <alignment horizontal="left" vertical="top" indent="1"/>
    </xf>
    <xf numFmtId="0" fontId="0" fillId="0" borderId="0" xfId="0" applyAlignment="1">
      <alignment horizontal="left" indent="1"/>
    </xf>
    <xf numFmtId="0" fontId="0" fillId="3" borderId="15" xfId="0" applyFill="1" applyBorder="1" applyAlignment="1">
      <alignment horizontal="left" vertical="top"/>
    </xf>
    <xf numFmtId="0" fontId="0" fillId="0" borderId="0" xfId="0" applyAlignment="1">
      <alignment horizontal="left"/>
    </xf>
    <xf numFmtId="0" fontId="0" fillId="6" borderId="15" xfId="0" applyFill="1" applyBorder="1" applyAlignment="1">
      <alignment vertical="top"/>
    </xf>
    <xf numFmtId="0" fontId="0" fillId="6" borderId="19" xfId="0" applyFill="1" applyBorder="1" applyAlignment="1">
      <alignment vertical="top"/>
    </xf>
    <xf numFmtId="9" fontId="0" fillId="0" borderId="0" xfId="2" applyFont="1" applyBorder="1" applyAlignment="1">
      <alignment horizontal="center" vertical="top"/>
    </xf>
    <xf numFmtId="0" fontId="0" fillId="6" borderId="15" xfId="0" applyFill="1" applyBorder="1" applyAlignment="1">
      <alignment horizontal="left" vertical="top" indent="1"/>
    </xf>
    <xf numFmtId="0" fontId="5" fillId="0" borderId="25" xfId="0" applyFont="1" applyBorder="1" applyAlignment="1">
      <alignment horizontal="center" vertical="top" wrapText="1"/>
    </xf>
    <xf numFmtId="0" fontId="5" fillId="0" borderId="26" xfId="0" applyFont="1" applyBorder="1" applyAlignment="1">
      <alignment horizontal="center" vertical="top" wrapText="1"/>
    </xf>
    <xf numFmtId="0" fontId="5" fillId="0" borderId="13" xfId="0" applyFont="1" applyBorder="1" applyAlignment="1">
      <alignment vertical="top"/>
    </xf>
    <xf numFmtId="0" fontId="0" fillId="0" borderId="27" xfId="0" applyBorder="1" applyAlignment="1">
      <alignment horizontal="center" vertical="top" wrapText="1"/>
    </xf>
    <xf numFmtId="0" fontId="0" fillId="3" borderId="28" xfId="0" applyFill="1" applyBorder="1" applyAlignment="1" applyProtection="1">
      <alignment horizontal="center" vertical="top" wrapText="1"/>
      <protection locked="0"/>
    </xf>
    <xf numFmtId="0" fontId="5" fillId="0" borderId="15" xfId="0" applyFont="1" applyBorder="1" applyAlignment="1">
      <alignment vertical="top"/>
    </xf>
    <xf numFmtId="0" fontId="0" fillId="0" borderId="28" xfId="0" applyBorder="1" applyAlignment="1">
      <alignment horizontal="center" vertical="top" wrapText="1"/>
    </xf>
    <xf numFmtId="0" fontId="0" fillId="3" borderId="15" xfId="0" applyFill="1" applyBorder="1" applyAlignment="1">
      <alignment vertical="top"/>
    </xf>
    <xf numFmtId="0" fontId="5" fillId="3" borderId="15" xfId="0" applyFont="1" applyFill="1" applyBorder="1" applyAlignment="1">
      <alignment horizontal="left" vertical="top"/>
    </xf>
    <xf numFmtId="0" fontId="0" fillId="3" borderId="28" xfId="0" applyFill="1" applyBorder="1" applyAlignment="1">
      <alignment horizontal="center" vertical="top" wrapText="1"/>
    </xf>
    <xf numFmtId="0" fontId="5" fillId="0" borderId="19" xfId="0" applyFont="1" applyBorder="1" applyAlignment="1">
      <alignment vertical="top"/>
    </xf>
    <xf numFmtId="0" fontId="0" fillId="0" borderId="29" xfId="0" applyBorder="1" applyAlignment="1">
      <alignment horizontal="center" vertical="top" wrapText="1"/>
    </xf>
    <xf numFmtId="0" fontId="0" fillId="0" borderId="22" xfId="0" applyBorder="1" applyAlignment="1">
      <alignment horizontal="center" vertical="top" wrapText="1"/>
    </xf>
    <xf numFmtId="0" fontId="0" fillId="0" borderId="16" xfId="0" applyBorder="1" applyAlignment="1">
      <alignment horizontal="center" vertical="top" wrapText="1"/>
    </xf>
    <xf numFmtId="0" fontId="5" fillId="0" borderId="15" xfId="0" applyFont="1" applyBorder="1" applyAlignment="1">
      <alignment horizontal="left" vertical="top"/>
    </xf>
    <xf numFmtId="0" fontId="5" fillId="3" borderId="15" xfId="0" applyFont="1" applyFill="1" applyBorder="1" applyAlignment="1">
      <alignment vertical="top"/>
    </xf>
    <xf numFmtId="0" fontId="0" fillId="4" borderId="0" xfId="0" applyFill="1" applyAlignment="1">
      <alignment horizontal="center" vertical="top" wrapText="1"/>
    </xf>
    <xf numFmtId="0" fontId="0" fillId="0" borderId="10" xfId="0" applyBorder="1" applyAlignment="1">
      <alignment horizontal="center" vertical="top" wrapText="1"/>
    </xf>
    <xf numFmtId="0" fontId="5" fillId="0" borderId="0" xfId="0" applyFont="1" applyAlignment="1">
      <alignment vertical="top"/>
    </xf>
    <xf numFmtId="0" fontId="5" fillId="0" borderId="13" xfId="0" applyFont="1" applyBorder="1" applyAlignment="1">
      <alignment horizontal="center" vertical="top" wrapText="1"/>
    </xf>
    <xf numFmtId="0" fontId="5" fillId="0" borderId="0" xfId="0" applyFont="1" applyAlignment="1">
      <alignment horizontal="center" vertical="top" wrapText="1"/>
    </xf>
    <xf numFmtId="0" fontId="5" fillId="0" borderId="3" xfId="0" applyFont="1" applyBorder="1" applyAlignment="1">
      <alignment vertical="top"/>
    </xf>
    <xf numFmtId="0" fontId="5" fillId="0" borderId="3" xfId="0" applyFont="1" applyBorder="1" applyAlignment="1">
      <alignment horizontal="center" vertical="top" wrapText="1"/>
    </xf>
    <xf numFmtId="0" fontId="0" fillId="3" borderId="13" xfId="0" applyFill="1" applyBorder="1" applyAlignment="1">
      <alignment vertical="top"/>
    </xf>
    <xf numFmtId="0" fontId="0" fillId="3" borderId="19" xfId="0" applyFill="1" applyBorder="1" applyAlignment="1">
      <alignment vertical="top"/>
    </xf>
    <xf numFmtId="0" fontId="0" fillId="6" borderId="3" xfId="0" applyFill="1" applyBorder="1" applyAlignment="1">
      <alignment vertical="top"/>
    </xf>
    <xf numFmtId="0" fontId="5" fillId="6" borderId="30" xfId="0" applyFont="1" applyFill="1" applyBorder="1" applyAlignment="1">
      <alignment vertical="top" wrapText="1"/>
    </xf>
    <xf numFmtId="0" fontId="5" fillId="6" borderId="31" xfId="0" applyFont="1" applyFill="1" applyBorder="1" applyAlignment="1">
      <alignment vertical="top" wrapText="1"/>
    </xf>
    <xf numFmtId="0" fontId="0" fillId="6" borderId="13" xfId="0" applyFill="1" applyBorder="1" applyAlignment="1">
      <alignment vertical="top"/>
    </xf>
    <xf numFmtId="0" fontId="0" fillId="0" borderId="32" xfId="0" applyBorder="1" applyAlignment="1">
      <alignment vertical="top" wrapText="1"/>
    </xf>
    <xf numFmtId="0" fontId="0" fillId="6" borderId="33" xfId="0" applyFill="1" applyBorder="1" applyAlignment="1">
      <alignment vertical="top" wrapText="1"/>
    </xf>
    <xf numFmtId="0" fontId="0" fillId="6" borderId="15" xfId="0" applyFill="1" applyBorder="1" applyAlignment="1">
      <alignment vertical="top" wrapText="1"/>
    </xf>
    <xf numFmtId="0" fontId="0" fillId="6" borderId="35" xfId="0" applyFill="1" applyBorder="1" applyAlignment="1">
      <alignment vertical="top" wrapText="1"/>
    </xf>
    <xf numFmtId="0" fontId="0" fillId="6" borderId="3" xfId="0" applyFill="1" applyBorder="1" applyAlignment="1">
      <alignment vertical="top" wrapText="1"/>
    </xf>
    <xf numFmtId="0" fontId="5" fillId="6" borderId="3" xfId="0" applyFont="1" applyFill="1" applyBorder="1" applyAlignment="1">
      <alignment vertical="top"/>
    </xf>
    <xf numFmtId="0" fontId="7" fillId="0" borderId="42" xfId="0" applyFont="1" applyBorder="1" applyAlignment="1">
      <alignment vertical="top"/>
    </xf>
    <xf numFmtId="0" fontId="0" fillId="0" borderId="42" xfId="0" applyBorder="1" applyAlignment="1">
      <alignment vertical="top"/>
    </xf>
    <xf numFmtId="0" fontId="0" fillId="0" borderId="43" xfId="0" applyBorder="1" applyAlignment="1">
      <alignment vertical="top" wrapText="1"/>
    </xf>
    <xf numFmtId="0" fontId="0" fillId="0" borderId="43" xfId="0" applyBorder="1" applyAlignment="1">
      <alignment vertical="top"/>
    </xf>
    <xf numFmtId="0" fontId="0" fillId="0" borderId="44" xfId="0" applyBorder="1" applyAlignment="1">
      <alignment vertical="top"/>
    </xf>
    <xf numFmtId="0" fontId="0" fillId="0" borderId="32" xfId="0" applyBorder="1" applyAlignment="1">
      <alignment vertical="top"/>
    </xf>
    <xf numFmtId="0" fontId="0" fillId="0" borderId="45" xfId="0" applyBorder="1" applyAlignment="1">
      <alignment vertical="top"/>
    </xf>
    <xf numFmtId="0" fontId="5" fillId="0" borderId="13" xfId="0" applyFont="1" applyBorder="1" applyAlignment="1">
      <alignment vertical="top" wrapText="1"/>
    </xf>
    <xf numFmtId="0" fontId="5" fillId="0" borderId="35" xfId="0" applyFont="1" applyBorder="1" applyAlignment="1">
      <alignment horizontal="left" vertical="top" wrapText="1"/>
    </xf>
    <xf numFmtId="0" fontId="5" fillId="0" borderId="38" xfId="0" applyFont="1" applyBorder="1" applyAlignment="1">
      <alignment vertical="top" wrapText="1"/>
    </xf>
    <xf numFmtId="0" fontId="5" fillId="0" borderId="46" xfId="0" applyFont="1" applyBorder="1" applyAlignment="1">
      <alignment vertical="top" wrapText="1"/>
    </xf>
    <xf numFmtId="0" fontId="5" fillId="0" borderId="47" xfId="0" applyFont="1" applyBorder="1" applyAlignment="1">
      <alignment vertical="top" wrapText="1"/>
    </xf>
    <xf numFmtId="0" fontId="5" fillId="0" borderId="48" xfId="0" applyFont="1" applyBorder="1" applyAlignment="1">
      <alignment vertical="top" wrapText="1"/>
    </xf>
    <xf numFmtId="0" fontId="5" fillId="0" borderId="49" xfId="0" applyFont="1" applyBorder="1" applyAlignment="1">
      <alignment wrapText="1"/>
    </xf>
    <xf numFmtId="0" fontId="0" fillId="3" borderId="50" xfId="0" applyFill="1" applyBorder="1" applyAlignment="1">
      <alignment vertical="top"/>
    </xf>
    <xf numFmtId="0" fontId="0" fillId="3" borderId="33" xfId="0" applyFill="1" applyBorder="1" applyAlignment="1">
      <alignment vertical="top"/>
    </xf>
    <xf numFmtId="0" fontId="0" fillId="3" borderId="2" xfId="0" applyFill="1" applyBorder="1" applyAlignment="1" applyProtection="1">
      <alignment vertical="top" wrapText="1"/>
      <protection locked="0"/>
    </xf>
    <xf numFmtId="0" fontId="0" fillId="6" borderId="33" xfId="0" applyFill="1" applyBorder="1" applyAlignment="1">
      <alignment vertical="top"/>
    </xf>
    <xf numFmtId="0" fontId="0" fillId="5" borderId="33" xfId="0" applyFill="1" applyBorder="1" applyAlignment="1">
      <alignment horizontal="left" vertical="top" indent="1"/>
    </xf>
    <xf numFmtId="0" fontId="0" fillId="3" borderId="33" xfId="0" applyFill="1" applyBorder="1" applyAlignment="1">
      <alignment horizontal="left" vertical="top"/>
    </xf>
    <xf numFmtId="0" fontId="0" fillId="3" borderId="36" xfId="0" applyFill="1" applyBorder="1" applyAlignment="1">
      <alignment vertical="top"/>
    </xf>
    <xf numFmtId="0" fontId="0" fillId="0" borderId="54" xfId="0" applyBorder="1" applyAlignment="1">
      <alignment vertical="top"/>
    </xf>
    <xf numFmtId="0" fontId="5" fillId="0" borderId="42" xfId="0" applyFont="1" applyBorder="1" applyAlignment="1">
      <alignment vertical="top"/>
    </xf>
    <xf numFmtId="0" fontId="0" fillId="0" borderId="32" xfId="0" applyBorder="1" applyAlignment="1">
      <alignment horizontal="left" vertical="top" wrapText="1"/>
    </xf>
    <xf numFmtId="0" fontId="5" fillId="0" borderId="55" xfId="0" applyFont="1" applyBorder="1" applyAlignment="1">
      <alignment horizontal="left" vertical="top" wrapText="1"/>
    </xf>
    <xf numFmtId="0" fontId="5" fillId="0" borderId="49" xfId="0" applyFont="1" applyBorder="1" applyAlignment="1">
      <alignment vertical="top" wrapText="1"/>
    </xf>
    <xf numFmtId="0" fontId="0" fillId="0" borderId="45" xfId="0" applyBorder="1" applyAlignment="1">
      <alignment horizontal="left" vertical="top" wrapText="1"/>
    </xf>
    <xf numFmtId="0" fontId="0" fillId="7" borderId="15" xfId="0" applyFill="1" applyBorder="1" applyAlignment="1">
      <alignment horizontal="left" vertical="top" indent="1"/>
    </xf>
    <xf numFmtId="0" fontId="0" fillId="6" borderId="33" xfId="0" applyFill="1" applyBorder="1" applyAlignment="1">
      <alignment horizontal="left" vertical="top"/>
    </xf>
    <xf numFmtId="0" fontId="0" fillId="0" borderId="45" xfId="0" applyBorder="1" applyAlignment="1">
      <alignment vertical="top" wrapText="1"/>
    </xf>
    <xf numFmtId="0" fontId="0" fillId="0" borderId="56" xfId="0" applyBorder="1" applyAlignment="1">
      <alignment vertical="top"/>
    </xf>
    <xf numFmtId="0" fontId="0" fillId="0" borderId="54" xfId="0" applyBorder="1" applyAlignment="1">
      <alignment vertical="top" wrapText="1"/>
    </xf>
    <xf numFmtId="0" fontId="0" fillId="0" borderId="57" xfId="0" applyBorder="1" applyAlignment="1">
      <alignment vertical="top"/>
    </xf>
    <xf numFmtId="0" fontId="0" fillId="0" borderId="43" xfId="0" applyBorder="1" applyAlignment="1">
      <alignment wrapText="1"/>
    </xf>
    <xf numFmtId="0" fontId="5" fillId="0" borderId="58" xfId="0" applyFont="1" applyBorder="1" applyAlignment="1">
      <alignment vertical="top" wrapText="1"/>
    </xf>
    <xf numFmtId="0" fontId="5" fillId="0" borderId="59" xfId="0" applyFont="1" applyBorder="1" applyAlignment="1">
      <alignment horizontal="left" vertical="top" wrapText="1"/>
    </xf>
    <xf numFmtId="0" fontId="0" fillId="6" borderId="19" xfId="0" applyFill="1" applyBorder="1" applyAlignment="1">
      <alignment horizontal="left" vertical="top"/>
    </xf>
    <xf numFmtId="0" fontId="0" fillId="0" borderId="54" xfId="0" applyBorder="1" applyAlignment="1">
      <alignment horizontal="left" vertical="top"/>
    </xf>
    <xf numFmtId="0" fontId="0" fillId="3" borderId="28" xfId="0" applyFill="1" applyBorder="1" applyAlignment="1" applyProtection="1">
      <alignment vertical="top"/>
      <protection locked="0"/>
    </xf>
    <xf numFmtId="0" fontId="0" fillId="3" borderId="2" xfId="0" applyFill="1" applyBorder="1" applyAlignment="1" applyProtection="1">
      <alignment vertical="top"/>
      <protection locked="0"/>
    </xf>
    <xf numFmtId="0" fontId="4" fillId="6" borderId="28" xfId="0" applyFont="1" applyFill="1" applyBorder="1" applyAlignment="1" applyProtection="1">
      <alignment vertical="top"/>
      <protection locked="0"/>
    </xf>
    <xf numFmtId="0" fontId="0" fillId="6" borderId="35" xfId="0" applyFill="1" applyBorder="1" applyAlignment="1">
      <alignment vertical="top"/>
    </xf>
    <xf numFmtId="0" fontId="4" fillId="6" borderId="60" xfId="0" applyFont="1" applyFill="1" applyBorder="1" applyAlignment="1" applyProtection="1">
      <alignment vertical="top"/>
      <protection locked="0"/>
    </xf>
    <xf numFmtId="0" fontId="0" fillId="3" borderId="35" xfId="0" applyFill="1" applyBorder="1" applyAlignment="1">
      <alignment vertical="top"/>
    </xf>
    <xf numFmtId="0" fontId="0" fillId="3" borderId="35" xfId="0" applyFill="1" applyBorder="1" applyAlignment="1">
      <alignment horizontal="left" vertical="top"/>
    </xf>
    <xf numFmtId="0" fontId="0" fillId="3" borderId="19" xfId="0" applyFill="1" applyBorder="1" applyAlignment="1">
      <alignment horizontal="left" vertical="top"/>
    </xf>
    <xf numFmtId="0" fontId="0" fillId="3" borderId="21" xfId="0" applyFill="1" applyBorder="1"/>
    <xf numFmtId="0" fontId="0" fillId="3" borderId="15" xfId="0" applyFill="1" applyBorder="1"/>
    <xf numFmtId="0" fontId="0" fillId="3" borderId="19" xfId="0" applyFill="1" applyBorder="1"/>
    <xf numFmtId="0" fontId="0" fillId="0" borderId="0" xfId="0" applyAlignment="1" applyProtection="1">
      <alignment vertical="top"/>
      <protection locked="0"/>
    </xf>
    <xf numFmtId="0" fontId="4" fillId="0" borderId="0" xfId="0" applyFont="1" applyAlignment="1" applyProtection="1">
      <alignment vertical="top"/>
      <protection locked="0"/>
    </xf>
    <xf numFmtId="0" fontId="8" fillId="0" borderId="0" xfId="0" applyFont="1" applyAlignment="1">
      <alignment horizontal="center" vertical="center"/>
    </xf>
    <xf numFmtId="0" fontId="0" fillId="3" borderId="15" xfId="0" applyFill="1" applyBorder="1" applyAlignment="1">
      <alignment vertical="center"/>
    </xf>
    <xf numFmtId="14" fontId="0" fillId="9" borderId="28" xfId="0" applyNumberFormat="1" applyFill="1" applyBorder="1" applyAlignment="1" applyProtection="1">
      <alignment horizontal="center" vertical="center"/>
      <protection locked="0"/>
    </xf>
    <xf numFmtId="0" fontId="0" fillId="9" borderId="29" xfId="0" applyFill="1" applyBorder="1" applyAlignment="1" applyProtection="1">
      <alignment horizontal="center" vertical="top"/>
      <protection locked="0"/>
    </xf>
    <xf numFmtId="0" fontId="0" fillId="9" borderId="28" xfId="0" applyFill="1" applyBorder="1" applyAlignment="1" applyProtection="1">
      <alignment horizontal="center" vertical="top"/>
      <protection locked="0"/>
    </xf>
    <xf numFmtId="0" fontId="0" fillId="9" borderId="28" xfId="0" applyFill="1" applyBorder="1" applyAlignment="1" applyProtection="1">
      <alignment horizontal="left" vertical="top" wrapText="1"/>
      <protection locked="0"/>
    </xf>
    <xf numFmtId="9" fontId="0" fillId="9" borderId="28" xfId="2" applyFont="1" applyFill="1" applyBorder="1" applyAlignment="1" applyProtection="1">
      <alignment horizontal="center" vertical="top"/>
      <protection locked="0"/>
    </xf>
    <xf numFmtId="3" fontId="0" fillId="6" borderId="41" xfId="0" applyNumberFormat="1" applyFill="1" applyBorder="1" applyAlignment="1">
      <alignment vertical="top"/>
    </xf>
    <xf numFmtId="3" fontId="0" fillId="6" borderId="28" xfId="0" applyNumberFormat="1" applyFill="1" applyBorder="1" applyAlignment="1">
      <alignment vertical="top"/>
    </xf>
    <xf numFmtId="3" fontId="0" fillId="9" borderId="2" xfId="0" applyNumberFormat="1" applyFill="1" applyBorder="1" applyAlignment="1" applyProtection="1">
      <alignment vertical="top"/>
      <protection locked="0"/>
    </xf>
    <xf numFmtId="9" fontId="0" fillId="9" borderId="27" xfId="2" applyFont="1" applyFill="1" applyBorder="1" applyAlignment="1" applyProtection="1">
      <alignment horizontal="center" vertical="top"/>
      <protection locked="0"/>
    </xf>
    <xf numFmtId="3" fontId="0" fillId="9" borderId="10" xfId="0" applyNumberFormat="1" applyFill="1" applyBorder="1" applyAlignment="1" applyProtection="1">
      <alignment vertical="top"/>
      <protection locked="0"/>
    </xf>
    <xf numFmtId="0" fontId="0" fillId="3" borderId="21" xfId="0" applyFill="1" applyBorder="1" applyAlignment="1">
      <alignment vertical="top"/>
    </xf>
    <xf numFmtId="0" fontId="0" fillId="9" borderId="27" xfId="0" applyFill="1" applyBorder="1" applyAlignment="1" applyProtection="1">
      <alignment horizontal="left" vertical="top" wrapText="1"/>
      <protection locked="0"/>
    </xf>
    <xf numFmtId="0" fontId="0" fillId="0" borderId="61" xfId="0" applyBorder="1" applyAlignment="1">
      <alignment vertical="top"/>
    </xf>
    <xf numFmtId="166" fontId="0" fillId="0" borderId="0" xfId="1" applyNumberFormat="1" applyFont="1"/>
    <xf numFmtId="164" fontId="0" fillId="0" borderId="0" xfId="0" applyNumberFormat="1" applyAlignment="1">
      <alignment vertical="top"/>
    </xf>
    <xf numFmtId="164" fontId="0" fillId="5" borderId="16" xfId="1" applyFont="1" applyFill="1" applyBorder="1" applyAlignment="1" applyProtection="1">
      <alignment horizontal="center" vertical="top" wrapText="1"/>
      <protection locked="0"/>
    </xf>
    <xf numFmtId="164" fontId="0" fillId="0" borderId="0" xfId="1" applyFont="1"/>
    <xf numFmtId="164" fontId="0" fillId="0" borderId="0" xfId="0" applyNumberFormat="1"/>
    <xf numFmtId="167" fontId="0" fillId="3" borderId="16" xfId="1" applyNumberFormat="1" applyFont="1" applyFill="1" applyBorder="1" applyAlignment="1" applyProtection="1">
      <alignment vertical="top" wrapText="1"/>
      <protection locked="0"/>
    </xf>
    <xf numFmtId="167" fontId="0" fillId="6" borderId="17" xfId="0" applyNumberFormat="1" applyFill="1" applyBorder="1" applyAlignment="1">
      <alignment horizontal="center" vertical="top" wrapText="1"/>
    </xf>
    <xf numFmtId="167" fontId="0" fillId="6" borderId="18" xfId="1" applyNumberFormat="1" applyFont="1" applyFill="1" applyBorder="1" applyAlignment="1">
      <alignment horizontal="center" vertical="top" wrapText="1"/>
    </xf>
    <xf numFmtId="167" fontId="0" fillId="6" borderId="16" xfId="1" applyNumberFormat="1" applyFont="1" applyFill="1" applyBorder="1" applyAlignment="1">
      <alignment horizontal="center" vertical="top" wrapText="1"/>
    </xf>
    <xf numFmtId="167" fontId="0" fillId="6" borderId="10" xfId="1" applyNumberFormat="1" applyFont="1" applyFill="1" applyBorder="1" applyAlignment="1">
      <alignment horizontal="center" vertical="top" wrapText="1"/>
    </xf>
    <xf numFmtId="167" fontId="0" fillId="6" borderId="20" xfId="0" applyNumberFormat="1" applyFill="1" applyBorder="1" applyAlignment="1">
      <alignment horizontal="center" vertical="top" wrapText="1"/>
    </xf>
    <xf numFmtId="167" fontId="0" fillId="6" borderId="12" xfId="1" applyNumberFormat="1" applyFont="1" applyFill="1" applyBorder="1" applyAlignment="1">
      <alignment horizontal="center" vertical="top" wrapText="1"/>
    </xf>
    <xf numFmtId="167" fontId="0" fillId="6" borderId="10" xfId="0" applyNumberFormat="1" applyFill="1" applyBorder="1" applyAlignment="1">
      <alignment horizontal="center" vertical="top" wrapText="1"/>
    </xf>
    <xf numFmtId="167" fontId="0" fillId="6" borderId="22" xfId="0" applyNumberFormat="1" applyFill="1" applyBorder="1" applyAlignment="1">
      <alignment horizontal="center" vertical="top" wrapText="1"/>
    </xf>
    <xf numFmtId="167" fontId="0" fillId="6" borderId="23" xfId="0" applyNumberFormat="1" applyFill="1" applyBorder="1" applyAlignment="1">
      <alignment horizontal="center" vertical="top" wrapText="1"/>
    </xf>
    <xf numFmtId="167" fontId="0" fillId="6" borderId="24" xfId="1" applyNumberFormat="1" applyFont="1" applyFill="1" applyBorder="1" applyAlignment="1">
      <alignment horizontal="center" vertical="top" wrapText="1"/>
    </xf>
    <xf numFmtId="167" fontId="0" fillId="6" borderId="2" xfId="1" applyNumberFormat="1" applyFont="1" applyFill="1" applyBorder="1" applyAlignment="1">
      <alignment horizontal="center" vertical="top" wrapText="1"/>
    </xf>
    <xf numFmtId="167" fontId="0" fillId="5" borderId="16" xfId="1" applyNumberFormat="1" applyFont="1" applyFill="1" applyBorder="1" applyAlignment="1" applyProtection="1">
      <alignment horizontal="center" vertical="top" wrapText="1"/>
      <protection locked="0"/>
    </xf>
    <xf numFmtId="167" fontId="0" fillId="6" borderId="16" xfId="0" applyNumberFormat="1" applyFill="1" applyBorder="1" applyAlignment="1">
      <alignment horizontal="center" vertical="top" wrapText="1"/>
    </xf>
    <xf numFmtId="0" fontId="9" fillId="0" borderId="0" xfId="0" applyFont="1"/>
    <xf numFmtId="0" fontId="4" fillId="0" borderId="0" xfId="0" applyFont="1" applyAlignment="1">
      <alignment horizontal="left"/>
    </xf>
    <xf numFmtId="167" fontId="0" fillId="6" borderId="22" xfId="1" applyNumberFormat="1" applyFont="1" applyFill="1" applyBorder="1" applyAlignment="1">
      <alignment horizontal="center" vertical="top" wrapText="1"/>
    </xf>
    <xf numFmtId="167" fontId="0" fillId="3" borderId="16" xfId="1" applyNumberFormat="1" applyFont="1" applyFill="1" applyBorder="1" applyAlignment="1" applyProtection="1">
      <alignment horizontal="center" vertical="top" wrapText="1"/>
      <protection locked="0"/>
    </xf>
    <xf numFmtId="167" fontId="0" fillId="6" borderId="17" xfId="1" applyNumberFormat="1" applyFont="1" applyFill="1" applyBorder="1" applyAlignment="1">
      <alignment horizontal="center" vertical="top" wrapText="1"/>
    </xf>
    <xf numFmtId="167" fontId="0" fillId="6" borderId="20" xfId="1" applyNumberFormat="1" applyFont="1" applyFill="1" applyBorder="1" applyAlignment="1">
      <alignment horizontal="center" vertical="top" wrapText="1"/>
    </xf>
    <xf numFmtId="0" fontId="0" fillId="0" borderId="0" xfId="0" applyAlignment="1">
      <alignment horizontal="right" vertical="top"/>
    </xf>
    <xf numFmtId="0" fontId="9" fillId="0" borderId="0" xfId="0" applyFont="1" applyAlignment="1">
      <alignment horizontal="left"/>
    </xf>
    <xf numFmtId="164" fontId="0" fillId="0" borderId="0" xfId="1" applyFont="1" applyFill="1" applyAlignment="1">
      <alignment horizontal="left"/>
    </xf>
    <xf numFmtId="168" fontId="0" fillId="6" borderId="7" xfId="0" applyNumberFormat="1" applyFill="1" applyBorder="1" applyAlignment="1">
      <alignment vertical="top" wrapText="1"/>
    </xf>
    <xf numFmtId="168" fontId="0" fillId="6" borderId="31" xfId="0" applyNumberFormat="1" applyFill="1" applyBorder="1" applyAlignment="1">
      <alignment vertical="top" wrapText="1"/>
    </xf>
    <xf numFmtId="168" fontId="0" fillId="6" borderId="33" xfId="0" applyNumberFormat="1" applyFill="1" applyBorder="1" applyAlignment="1">
      <alignment vertical="top" wrapText="1"/>
    </xf>
    <xf numFmtId="168" fontId="0" fillId="6" borderId="34" xfId="0" applyNumberFormat="1" applyFill="1" applyBorder="1" applyAlignment="1">
      <alignment vertical="top" wrapText="1"/>
    </xf>
    <xf numFmtId="168" fontId="0" fillId="6" borderId="36" xfId="0" applyNumberFormat="1" applyFill="1" applyBorder="1" applyAlignment="1">
      <alignment vertical="top" wrapText="1"/>
    </xf>
    <xf numFmtId="168" fontId="0" fillId="6" borderId="37" xfId="0" applyNumberFormat="1" applyFill="1" applyBorder="1" applyAlignment="1">
      <alignment vertical="top" wrapText="1"/>
    </xf>
    <xf numFmtId="168" fontId="5" fillId="6" borderId="38" xfId="0" applyNumberFormat="1" applyFont="1" applyFill="1" applyBorder="1" applyAlignment="1">
      <alignment vertical="top" wrapText="1"/>
    </xf>
    <xf numFmtId="168" fontId="5" fillId="6" borderId="39" xfId="0" applyNumberFormat="1" applyFont="1" applyFill="1" applyBorder="1" applyAlignment="1">
      <alignment vertical="top" wrapText="1"/>
    </xf>
    <xf numFmtId="168" fontId="0" fillId="6" borderId="9" xfId="0" applyNumberFormat="1" applyFill="1" applyBorder="1" applyAlignment="1">
      <alignment vertical="top" wrapText="1"/>
    </xf>
    <xf numFmtId="168" fontId="0" fillId="6" borderId="16" xfId="0" applyNumberFormat="1" applyFill="1" applyBorder="1" applyAlignment="1">
      <alignment vertical="top" wrapText="1"/>
    </xf>
    <xf numFmtId="168" fontId="0" fillId="6" borderId="10" xfId="0" applyNumberFormat="1" applyFill="1" applyBorder="1" applyAlignment="1">
      <alignment vertical="top" wrapText="1"/>
    </xf>
    <xf numFmtId="168" fontId="5" fillId="6" borderId="40" xfId="0" applyNumberFormat="1" applyFont="1" applyFill="1" applyBorder="1" applyAlignment="1">
      <alignment vertical="top" wrapText="1"/>
    </xf>
    <xf numFmtId="168" fontId="5" fillId="6" borderId="26" xfId="0" applyNumberFormat="1" applyFont="1" applyFill="1" applyBorder="1" applyAlignment="1">
      <alignment vertical="top" wrapText="1"/>
    </xf>
    <xf numFmtId="168" fontId="0" fillId="6" borderId="41" xfId="0" applyNumberFormat="1" applyFill="1" applyBorder="1" applyAlignment="1">
      <alignment vertical="top" wrapText="1"/>
    </xf>
    <xf numFmtId="168" fontId="0" fillId="6" borderId="29" xfId="0" applyNumberFormat="1" applyFill="1" applyBorder="1" applyAlignment="1">
      <alignment vertical="top" wrapText="1"/>
    </xf>
    <xf numFmtId="168" fontId="0" fillId="6" borderId="12" xfId="0" applyNumberFormat="1" applyFill="1" applyBorder="1" applyAlignment="1">
      <alignment vertical="top" wrapText="1"/>
    </xf>
    <xf numFmtId="3" fontId="0" fillId="5" borderId="2" xfId="0" applyNumberFormat="1" applyFill="1" applyBorder="1" applyAlignment="1" applyProtection="1">
      <alignment horizontal="right" vertical="top" wrapText="1"/>
      <protection locked="0"/>
    </xf>
    <xf numFmtId="3" fontId="0" fillId="3" borderId="7" xfId="0" applyNumberFormat="1" applyFill="1" applyBorder="1" applyAlignment="1" applyProtection="1">
      <alignment vertical="top" wrapText="1"/>
      <protection locked="0"/>
    </xf>
    <xf numFmtId="3" fontId="0" fillId="3" borderId="8" xfId="0" applyNumberFormat="1" applyFill="1" applyBorder="1" applyAlignment="1" applyProtection="1">
      <alignment vertical="top" wrapText="1"/>
      <protection locked="0"/>
    </xf>
    <xf numFmtId="3" fontId="0" fillId="3" borderId="9" xfId="0" applyNumberFormat="1" applyFill="1" applyBorder="1" applyAlignment="1" applyProtection="1">
      <alignment vertical="top" wrapText="1"/>
      <protection locked="0"/>
    </xf>
    <xf numFmtId="3" fontId="0" fillId="6" borderId="51" xfId="0" applyNumberFormat="1" applyFill="1" applyBorder="1" applyAlignment="1">
      <alignment vertical="top" wrapText="1"/>
    </xf>
    <xf numFmtId="3" fontId="0" fillId="0" borderId="0" xfId="0" applyNumberFormat="1" applyAlignment="1">
      <alignment vertical="top"/>
    </xf>
    <xf numFmtId="3" fontId="0" fillId="3" borderId="50" xfId="0" applyNumberFormat="1" applyFill="1" applyBorder="1" applyAlignment="1">
      <alignment vertical="top" wrapText="1"/>
    </xf>
    <xf numFmtId="3" fontId="0" fillId="3" borderId="13" xfId="0" applyNumberFormat="1" applyFill="1" applyBorder="1" applyAlignment="1" applyProtection="1">
      <alignment vertical="top" wrapText="1"/>
      <protection locked="0"/>
    </xf>
    <xf numFmtId="3" fontId="0" fillId="3" borderId="16" xfId="0" applyNumberFormat="1" applyFill="1" applyBorder="1" applyAlignment="1" applyProtection="1">
      <alignment vertical="top" wrapText="1"/>
      <protection locked="0"/>
    </xf>
    <xf numFmtId="3" fontId="0" fillId="3" borderId="2" xfId="0" applyNumberFormat="1" applyFill="1" applyBorder="1" applyAlignment="1" applyProtection="1">
      <alignment vertical="top" wrapText="1"/>
      <protection locked="0"/>
    </xf>
    <xf numFmtId="3" fontId="0" fillId="3" borderId="18" xfId="0" applyNumberFormat="1" applyFill="1" applyBorder="1" applyAlignment="1" applyProtection="1">
      <alignment vertical="top" wrapText="1"/>
      <protection locked="0"/>
    </xf>
    <xf numFmtId="3" fontId="0" fillId="6" borderId="52" xfId="0" applyNumberFormat="1" applyFill="1" applyBorder="1" applyAlignment="1">
      <alignment vertical="top" wrapText="1"/>
    </xf>
    <xf numFmtId="3" fontId="0" fillId="3" borderId="33" xfId="0" applyNumberFormat="1" applyFill="1" applyBorder="1" applyAlignment="1">
      <alignment vertical="top" wrapText="1"/>
    </xf>
    <xf numFmtId="3" fontId="0" fillId="3" borderId="15" xfId="0" applyNumberFormat="1" applyFill="1" applyBorder="1" applyAlignment="1" applyProtection="1">
      <alignment vertical="top" wrapText="1"/>
      <protection locked="0"/>
    </xf>
    <xf numFmtId="3" fontId="0" fillId="6" borderId="33" xfId="0" applyNumberFormat="1" applyFill="1" applyBorder="1" applyAlignment="1">
      <alignment vertical="top" wrapText="1"/>
    </xf>
    <xf numFmtId="3" fontId="0" fillId="6" borderId="2" xfId="0" applyNumberFormat="1" applyFill="1" applyBorder="1" applyAlignment="1">
      <alignment vertical="top" wrapText="1"/>
    </xf>
    <xf numFmtId="3" fontId="0" fillId="6" borderId="15" xfId="0" applyNumberFormat="1" applyFill="1" applyBorder="1" applyAlignment="1">
      <alignment vertical="top" wrapText="1"/>
    </xf>
    <xf numFmtId="3" fontId="0" fillId="6" borderId="16" xfId="0" applyNumberFormat="1" applyFill="1" applyBorder="1" applyAlignment="1">
      <alignment vertical="top" wrapText="1"/>
    </xf>
    <xf numFmtId="3" fontId="0" fillId="6" borderId="18" xfId="0" applyNumberFormat="1" applyFill="1" applyBorder="1" applyAlignment="1">
      <alignment vertical="top" wrapText="1"/>
    </xf>
    <xf numFmtId="3" fontId="0" fillId="5" borderId="16" xfId="0" applyNumberFormat="1" applyFill="1" applyBorder="1" applyAlignment="1" applyProtection="1">
      <alignment horizontal="right" vertical="top" wrapText="1"/>
      <protection locked="0"/>
    </xf>
    <xf numFmtId="3" fontId="0" fillId="5" borderId="18" xfId="0" applyNumberFormat="1" applyFill="1" applyBorder="1" applyAlignment="1" applyProtection="1">
      <alignment horizontal="right" vertical="top" wrapText="1"/>
      <protection locked="0"/>
    </xf>
    <xf numFmtId="3" fontId="0" fillId="5" borderId="33" xfId="0" applyNumberFormat="1" applyFill="1" applyBorder="1" applyAlignment="1">
      <alignment horizontal="left" vertical="top" wrapText="1" indent="1"/>
    </xf>
    <xf numFmtId="3" fontId="0" fillId="5" borderId="15" xfId="0" applyNumberFormat="1" applyFill="1" applyBorder="1" applyAlignment="1" applyProtection="1">
      <alignment horizontal="right" vertical="top" wrapText="1"/>
      <protection locked="0"/>
    </xf>
    <xf numFmtId="3" fontId="0" fillId="3" borderId="16" xfId="0" applyNumberFormat="1" applyFill="1" applyBorder="1" applyAlignment="1" applyProtection="1">
      <alignment horizontal="right" vertical="top" wrapText="1"/>
      <protection locked="0"/>
    </xf>
    <xf numFmtId="3" fontId="0" fillId="3" borderId="2" xfId="0" applyNumberFormat="1" applyFill="1" applyBorder="1" applyAlignment="1" applyProtection="1">
      <alignment horizontal="right" vertical="top" wrapText="1"/>
      <protection locked="0"/>
    </xf>
    <xf numFmtId="3" fontId="0" fillId="3" borderId="18" xfId="0" applyNumberFormat="1" applyFill="1" applyBorder="1" applyAlignment="1" applyProtection="1">
      <alignment horizontal="right" vertical="top" wrapText="1"/>
      <protection locked="0"/>
    </xf>
    <xf numFmtId="3" fontId="0" fillId="3" borderId="33" xfId="0" applyNumberFormat="1" applyFill="1" applyBorder="1" applyAlignment="1">
      <alignment horizontal="left" vertical="top" wrapText="1"/>
    </xf>
    <xf numFmtId="3" fontId="0" fillId="3" borderId="15" xfId="0" applyNumberFormat="1" applyFill="1" applyBorder="1" applyAlignment="1" applyProtection="1">
      <alignment horizontal="right" vertical="top" wrapText="1"/>
      <protection locked="0"/>
    </xf>
    <xf numFmtId="3" fontId="0" fillId="0" borderId="0" xfId="0" applyNumberFormat="1" applyAlignment="1">
      <alignment horizontal="left" vertical="top"/>
    </xf>
    <xf numFmtId="3" fontId="0" fillId="3" borderId="33" xfId="0" applyNumberFormat="1" applyFill="1" applyBorder="1" applyAlignment="1">
      <alignment horizontal="left" vertical="top"/>
    </xf>
    <xf numFmtId="3" fontId="0" fillId="3" borderId="10" xfId="0" applyNumberFormat="1" applyFill="1" applyBorder="1" applyAlignment="1" applyProtection="1">
      <alignment vertical="top" wrapText="1"/>
      <protection locked="0"/>
    </xf>
    <xf numFmtId="3" fontId="0" fillId="3" borderId="11" xfId="0" applyNumberFormat="1" applyFill="1" applyBorder="1" applyAlignment="1" applyProtection="1">
      <alignment vertical="top" wrapText="1"/>
      <protection locked="0"/>
    </xf>
    <xf numFmtId="3" fontId="0" fillId="3" borderId="11" xfId="0" applyNumberFormat="1" applyFill="1" applyBorder="1" applyAlignment="1" applyProtection="1">
      <alignment horizontal="right" vertical="top" wrapText="1"/>
      <protection locked="0"/>
    </xf>
    <xf numFmtId="3" fontId="0" fillId="3" borderId="12" xfId="0" applyNumberFormat="1" applyFill="1" applyBorder="1" applyAlignment="1" applyProtection="1">
      <alignment horizontal="right" vertical="top" wrapText="1"/>
      <protection locked="0"/>
    </xf>
    <xf numFmtId="3" fontId="0" fillId="6" borderId="53" xfId="0" applyNumberFormat="1" applyFill="1" applyBorder="1" applyAlignment="1">
      <alignment vertical="top" wrapText="1"/>
    </xf>
    <xf numFmtId="3" fontId="0" fillId="3" borderId="36" xfId="0" applyNumberFormat="1" applyFill="1" applyBorder="1" applyAlignment="1">
      <alignment vertical="top"/>
    </xf>
    <xf numFmtId="3" fontId="0" fillId="3" borderId="19" xfId="0" applyNumberFormat="1" applyFill="1" applyBorder="1" applyAlignment="1" applyProtection="1">
      <alignment horizontal="right" vertical="top" wrapText="1"/>
      <protection locked="0"/>
    </xf>
    <xf numFmtId="3" fontId="0" fillId="3" borderId="13" xfId="0" applyNumberFormat="1" applyFill="1" applyBorder="1" applyAlignment="1" applyProtection="1">
      <alignment horizontal="center" vertical="top" wrapText="1"/>
      <protection locked="0"/>
    </xf>
    <xf numFmtId="3" fontId="0" fillId="3" borderId="15" xfId="0" applyNumberFormat="1" applyFill="1" applyBorder="1" applyAlignment="1" applyProtection="1">
      <alignment horizontal="center" vertical="top" wrapText="1"/>
      <protection locked="0"/>
    </xf>
    <xf numFmtId="3" fontId="0" fillId="3" borderId="19" xfId="0" applyNumberFormat="1" applyFill="1" applyBorder="1" applyAlignment="1" applyProtection="1">
      <alignment horizontal="center" vertical="top" wrapText="1"/>
      <protection locked="0"/>
    </xf>
    <xf numFmtId="0" fontId="0" fillId="3" borderId="28" xfId="0" applyFill="1" applyBorder="1" applyAlignment="1" applyProtection="1">
      <alignment vertical="top" wrapText="1"/>
      <protection locked="0"/>
    </xf>
    <xf numFmtId="166" fontId="0" fillId="3" borderId="28" xfId="1" applyNumberFormat="1" applyFont="1" applyFill="1" applyBorder="1" applyAlignment="1" applyProtection="1">
      <alignment vertical="top"/>
      <protection locked="0"/>
    </xf>
    <xf numFmtId="3" fontId="0" fillId="0" borderId="0" xfId="0" applyNumberFormat="1" applyAlignment="1">
      <alignment horizontal="center" vertical="top" wrapText="1"/>
    </xf>
    <xf numFmtId="166" fontId="0" fillId="0" borderId="0" xfId="1" applyNumberFormat="1" applyFont="1" applyAlignment="1">
      <alignment horizontal="center" vertical="top" wrapText="1"/>
    </xf>
    <xf numFmtId="164" fontId="0" fillId="0" borderId="0" xfId="1" applyFont="1" applyAlignment="1">
      <alignment vertical="top"/>
    </xf>
    <xf numFmtId="164" fontId="0" fillId="0" borderId="0" xfId="0" applyNumberFormat="1" applyAlignment="1">
      <alignment horizontal="left"/>
    </xf>
    <xf numFmtId="1" fontId="0" fillId="6" borderId="15" xfId="0" applyNumberFormat="1" applyFill="1" applyBorder="1" applyAlignment="1">
      <alignment horizontal="center" vertical="top" wrapText="1"/>
    </xf>
    <xf numFmtId="1" fontId="0" fillId="6" borderId="19" xfId="0" applyNumberFormat="1" applyFill="1" applyBorder="1" applyAlignment="1">
      <alignment horizontal="center" vertical="top" wrapText="1"/>
    </xf>
    <xf numFmtId="1" fontId="0" fillId="3" borderId="15" xfId="0" applyNumberFormat="1" applyFill="1" applyBorder="1" applyAlignment="1" applyProtection="1">
      <alignment horizontal="center" vertical="top" wrapText="1"/>
      <protection locked="0"/>
    </xf>
    <xf numFmtId="0" fontId="21" fillId="6" borderId="0" xfId="0" applyFont="1" applyFill="1" applyAlignment="1">
      <alignment vertical="top" wrapText="1"/>
    </xf>
    <xf numFmtId="0" fontId="0" fillId="6" borderId="8" xfId="0" applyFill="1" applyBorder="1" applyAlignment="1">
      <alignment vertical="top" wrapText="1"/>
    </xf>
    <xf numFmtId="0" fontId="0" fillId="6" borderId="65" xfId="0" applyFill="1" applyBorder="1" applyAlignment="1">
      <alignment vertical="top" wrapText="1"/>
    </xf>
    <xf numFmtId="0" fontId="0" fillId="6" borderId="13" xfId="0" applyFill="1" applyBorder="1" applyAlignment="1">
      <alignment vertical="top" wrapText="1"/>
    </xf>
    <xf numFmtId="0" fontId="0" fillId="6" borderId="16" xfId="0" applyFill="1" applyBorder="1" applyAlignment="1">
      <alignment vertical="top" wrapText="1"/>
    </xf>
    <xf numFmtId="0" fontId="0" fillId="6" borderId="2" xfId="0" applyFill="1" applyBorder="1" applyAlignment="1">
      <alignment vertical="top" wrapText="1"/>
    </xf>
    <xf numFmtId="0" fontId="0" fillId="6" borderId="66" xfId="0" applyFill="1" applyBorder="1" applyAlignment="1">
      <alignment vertical="top" wrapText="1"/>
    </xf>
    <xf numFmtId="0" fontId="0" fillId="7" borderId="16" xfId="0" applyFill="1" applyBorder="1" applyAlignment="1">
      <alignment vertical="top" wrapText="1"/>
    </xf>
    <xf numFmtId="0" fontId="0" fillId="7" borderId="2" xfId="0" applyFill="1" applyBorder="1" applyAlignment="1">
      <alignment vertical="top" wrapText="1"/>
    </xf>
    <xf numFmtId="0" fontId="0" fillId="7" borderId="66" xfId="0" applyFill="1" applyBorder="1" applyAlignment="1">
      <alignment vertical="top" wrapText="1"/>
    </xf>
    <xf numFmtId="0" fontId="0" fillId="7" borderId="15" xfId="0" applyFill="1" applyBorder="1" applyAlignment="1">
      <alignment vertical="top" wrapText="1"/>
    </xf>
    <xf numFmtId="0" fontId="0" fillId="6" borderId="10" xfId="0" applyFill="1" applyBorder="1" applyAlignment="1">
      <alignment vertical="top" wrapText="1"/>
    </xf>
    <xf numFmtId="0" fontId="0" fillId="6" borderId="11" xfId="0" applyFill="1" applyBorder="1" applyAlignment="1">
      <alignment vertical="top" wrapText="1"/>
    </xf>
    <xf numFmtId="0" fontId="0" fillId="6" borderId="67" xfId="0" applyFill="1" applyBorder="1" applyAlignment="1">
      <alignment vertical="top" wrapText="1"/>
    </xf>
    <xf numFmtId="0" fontId="0" fillId="6" borderId="19" xfId="0" applyFill="1" applyBorder="1" applyAlignment="1">
      <alignment vertical="top" wrapText="1"/>
    </xf>
    <xf numFmtId="166" fontId="0" fillId="6" borderId="8" xfId="1" applyNumberFormat="1" applyFont="1" applyFill="1" applyBorder="1" applyAlignment="1">
      <alignment vertical="top" wrapText="1"/>
    </xf>
    <xf numFmtId="166" fontId="0" fillId="6" borderId="65" xfId="1" applyNumberFormat="1" applyFont="1" applyFill="1" applyBorder="1" applyAlignment="1">
      <alignment vertical="top" wrapText="1"/>
    </xf>
    <xf numFmtId="166" fontId="0" fillId="6" borderId="13" xfId="1" applyNumberFormat="1" applyFont="1" applyFill="1" applyBorder="1" applyAlignment="1">
      <alignment vertical="top" wrapText="1"/>
    </xf>
    <xf numFmtId="166" fontId="0" fillId="6" borderId="2" xfId="1" applyNumberFormat="1" applyFont="1" applyFill="1" applyBorder="1" applyAlignment="1">
      <alignment vertical="top" wrapText="1"/>
    </xf>
    <xf numFmtId="166" fontId="0" fillId="6" borderId="66" xfId="1" applyNumberFormat="1" applyFont="1" applyFill="1" applyBorder="1" applyAlignment="1">
      <alignment vertical="top" wrapText="1"/>
    </xf>
    <xf numFmtId="166" fontId="0" fillId="6" borderId="15" xfId="1" applyNumberFormat="1" applyFont="1" applyFill="1" applyBorder="1" applyAlignment="1">
      <alignment vertical="top" wrapText="1"/>
    </xf>
    <xf numFmtId="166" fontId="0" fillId="7" borderId="2" xfId="1" applyNumberFormat="1" applyFont="1" applyFill="1" applyBorder="1" applyAlignment="1">
      <alignment vertical="top" wrapText="1"/>
    </xf>
    <xf numFmtId="166" fontId="0" fillId="7" borderId="66" xfId="1" applyNumberFormat="1" applyFont="1" applyFill="1" applyBorder="1" applyAlignment="1">
      <alignment vertical="top" wrapText="1"/>
    </xf>
    <xf numFmtId="166" fontId="0" fillId="7" borderId="15" xfId="1" applyNumberFormat="1" applyFont="1" applyFill="1" applyBorder="1" applyAlignment="1">
      <alignment vertical="top" wrapText="1"/>
    </xf>
    <xf numFmtId="166" fontId="0" fillId="6" borderId="11" xfId="1" applyNumberFormat="1" applyFont="1" applyFill="1" applyBorder="1" applyAlignment="1">
      <alignment vertical="top" wrapText="1"/>
    </xf>
    <xf numFmtId="166" fontId="0" fillId="6" borderId="67" xfId="1" applyNumberFormat="1" applyFont="1" applyFill="1" applyBorder="1" applyAlignment="1">
      <alignment vertical="top" wrapText="1"/>
    </xf>
    <xf numFmtId="166" fontId="0" fillId="6" borderId="19" xfId="1" applyNumberFormat="1" applyFont="1" applyFill="1" applyBorder="1" applyAlignment="1">
      <alignment vertical="top" wrapText="1"/>
    </xf>
    <xf numFmtId="0" fontId="0" fillId="6" borderId="50" xfId="0" applyFill="1" applyBorder="1" applyAlignment="1">
      <alignment vertical="top"/>
    </xf>
    <xf numFmtId="0" fontId="0" fillId="7" borderId="33" xfId="0" applyFill="1" applyBorder="1" applyAlignment="1">
      <alignment horizontal="left" vertical="top" indent="1"/>
    </xf>
    <xf numFmtId="0" fontId="0" fillId="6" borderId="36" xfId="0" applyFill="1" applyBorder="1" applyAlignment="1">
      <alignment vertical="top"/>
    </xf>
    <xf numFmtId="0" fontId="0" fillId="6" borderId="7" xfId="0" applyFill="1" applyBorder="1" applyAlignment="1">
      <alignment vertical="top" wrapText="1"/>
    </xf>
    <xf numFmtId="0" fontId="0" fillId="6" borderId="36" xfId="0" applyFill="1" applyBorder="1" applyAlignment="1">
      <alignment horizontal="left" vertical="top"/>
    </xf>
    <xf numFmtId="0" fontId="22" fillId="0" borderId="0" xfId="0" applyFont="1" applyAlignment="1">
      <alignment vertical="top"/>
    </xf>
    <xf numFmtId="0" fontId="5" fillId="0" borderId="7" xfId="0" applyFont="1" applyBorder="1" applyAlignment="1">
      <alignment horizontal="center" vertical="top" wrapText="1"/>
    </xf>
    <xf numFmtId="0" fontId="5" fillId="0" borderId="8" xfId="0" applyFont="1" applyBorder="1" applyAlignment="1">
      <alignment horizontal="center" vertical="top" wrapText="1"/>
    </xf>
    <xf numFmtId="0" fontId="5" fillId="0" borderId="9" xfId="0" applyFont="1" applyBorder="1" applyAlignment="1">
      <alignment horizontal="center" vertical="top" wrapText="1"/>
    </xf>
    <xf numFmtId="0" fontId="5" fillId="0" borderId="7" xfId="0" applyFont="1" applyBorder="1" applyAlignment="1">
      <alignment horizontal="center" vertical="top"/>
    </xf>
    <xf numFmtId="0" fontId="5" fillId="0" borderId="8" xfId="0" applyFont="1" applyBorder="1" applyAlignment="1">
      <alignment horizontal="center" vertical="top"/>
    </xf>
    <xf numFmtId="0" fontId="5" fillId="0" borderId="9" xfId="0" applyFont="1" applyBorder="1" applyAlignment="1">
      <alignment horizontal="center" vertical="top"/>
    </xf>
    <xf numFmtId="0" fontId="5" fillId="0" borderId="4" xfId="0" applyFont="1" applyBorder="1" applyAlignment="1">
      <alignment horizontal="center" vertical="top" wrapText="1"/>
    </xf>
    <xf numFmtId="0" fontId="5" fillId="0" borderId="5" xfId="0" applyFont="1" applyBorder="1" applyAlignment="1">
      <alignment horizontal="center" vertical="top" wrapText="1"/>
    </xf>
    <xf numFmtId="0" fontId="5" fillId="0" borderId="6" xfId="0" applyFont="1" applyBorder="1" applyAlignment="1">
      <alignment horizontal="center" vertical="top" wrapText="1"/>
    </xf>
    <xf numFmtId="0" fontId="5" fillId="0" borderId="4" xfId="0" applyFont="1" applyBorder="1" applyAlignment="1">
      <alignment horizontal="left" vertical="top"/>
    </xf>
    <xf numFmtId="0" fontId="5" fillId="0" borderId="5" xfId="0" applyFont="1" applyBorder="1" applyAlignment="1">
      <alignment horizontal="left" vertical="top"/>
    </xf>
    <xf numFmtId="0" fontId="5" fillId="0" borderId="40" xfId="0" applyFont="1" applyBorder="1" applyAlignment="1">
      <alignment horizontal="left" vertical="top"/>
    </xf>
    <xf numFmtId="0" fontId="0" fillId="3" borderId="63" xfId="0" applyFill="1" applyBorder="1" applyAlignment="1" applyProtection="1">
      <alignment horizontal="center" vertical="center" wrapText="1"/>
      <protection locked="0"/>
    </xf>
    <xf numFmtId="0" fontId="0" fillId="3" borderId="38" xfId="0" applyFill="1" applyBorder="1" applyAlignment="1" applyProtection="1">
      <alignment horizontal="center" vertical="center" wrapText="1"/>
      <protection locked="0"/>
    </xf>
    <xf numFmtId="0" fontId="0" fillId="3" borderId="22" xfId="0" applyFill="1" applyBorder="1" applyAlignment="1" applyProtection="1">
      <alignment horizontal="center" vertical="center" wrapText="1"/>
      <protection locked="0"/>
    </xf>
  </cellXfs>
  <cellStyles count="21">
    <cellStyle name="Assumption Date." xfId="17" xr:uid="{FC61E830-882C-4D2E-AA51-01A06FBCA41A}"/>
    <cellStyle name="Assumption Heading." xfId="5" xr:uid="{C529CFEE-2D4A-4545-9CEF-5ECBF441A37C}"/>
    <cellStyle name="Comma" xfId="1" builtinId="3"/>
    <cellStyle name="Comma 2" xfId="6" xr:uid="{D1A57875-7C08-4FCD-84FA-725504BFAC29}"/>
    <cellStyle name="Comma 2 2" xfId="7" xr:uid="{006335FA-A2A4-42BB-91BE-E8C9CE7FDFC2}"/>
    <cellStyle name="Currency 3" xfId="9" xr:uid="{B23C8FDA-C201-49A7-B544-B410F42F6FE7}"/>
    <cellStyle name="Date." xfId="12" xr:uid="{C74B1E58-78BB-4B23-821D-3C1A062846A0}"/>
    <cellStyle name="Heading 1." xfId="14" xr:uid="{8EF3029E-FBAC-46EC-B909-585820FA188B}"/>
    <cellStyle name="Heading 1. 2" xfId="19" xr:uid="{2DA3F244-4B8C-4E83-B7ED-D122807FC1C6}"/>
    <cellStyle name="Heading 2." xfId="15" xr:uid="{1584F326-11D9-48DE-BFFD-9BF6645E6E80}"/>
    <cellStyle name="Heading 2. 2" xfId="20" xr:uid="{D728CF74-D109-4281-B273-03E80904E478}"/>
    <cellStyle name="Heading 3." xfId="16" xr:uid="{C53F6CCB-90E9-4746-A4F6-09EE8AC703A0}"/>
    <cellStyle name="Heading 4." xfId="11" xr:uid="{297361B6-C15D-459E-8E07-F9285E4F6F38}"/>
    <cellStyle name="Normal" xfId="0" builtinId="0"/>
    <cellStyle name="Normal 2" xfId="4" xr:uid="{737E2D41-9ECA-4072-A33A-9A5E9BAAB5C3}"/>
    <cellStyle name="Normal 3" xfId="8" xr:uid="{76877DED-F66F-4AF4-A05A-07EABA657288}"/>
    <cellStyle name="Number." xfId="3" xr:uid="{41A6166F-DD3A-4013-91D0-83E2DDD97F6C}"/>
    <cellStyle name="Percent" xfId="2" builtinId="5"/>
    <cellStyle name="Period Title." xfId="10" xr:uid="{BAF7D99E-DA77-42A7-9A06-6869248DD4C2}"/>
    <cellStyle name="Period Title. 2" xfId="18" xr:uid="{CB3EC982-0BD2-4726-82FC-C82A61934A07}"/>
    <cellStyle name="Year." xfId="13" xr:uid="{D9D8DB6C-01C6-4505-A870-74C805D210FF}"/>
  </cellStyles>
  <dxfs count="0"/>
  <tableStyles count="0" defaultTableStyle="TableStyleMedium2" defaultPivotStyle="PivotStyleLight16"/>
  <colors>
    <mruColors>
      <color rgb="FFCC0000"/>
      <color rgb="FF2E3948"/>
      <color rgb="FF4C5F78"/>
      <color rgb="FF548235"/>
      <color rgb="FF9933FF"/>
      <color rgb="FFE3E9F5"/>
      <color rgb="FFECB6B7"/>
      <color rgb="FFE084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microsoft.com/office/2017/10/relationships/person" Target="persons/person.xml"/><Relationship Id="rId5" Type="http://schemas.openxmlformats.org/officeDocument/2006/relationships/externalLink" Target="externalLinks/externalLink1.xml"/><Relationship Id="rId15" Type="http://schemas.openxmlformats.org/officeDocument/2006/relationships/customXml" Target="../customXml/item3.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oneCellAnchor>
    <xdr:from>
      <xdr:col>0</xdr:col>
      <xdr:colOff>0</xdr:colOff>
      <xdr:row>96</xdr:row>
      <xdr:rowOff>169919</xdr:rowOff>
    </xdr:from>
    <xdr:ext cx="7281289" cy="937629"/>
    <xdr:sp macro="" textlink="">
      <xdr:nvSpPr>
        <xdr:cNvPr id="2" name="Rectangle 1">
          <a:extLst>
            <a:ext uri="{FF2B5EF4-FFF2-40B4-BE49-F238E27FC236}">
              <a16:creationId xmlns:a16="http://schemas.microsoft.com/office/drawing/2014/main" id="{1C05922D-E611-4445-A2CB-A872DEE4D455}"/>
            </a:ext>
          </a:extLst>
        </xdr:cNvPr>
        <xdr:cNvSpPr/>
      </xdr:nvSpPr>
      <xdr:spPr>
        <a:xfrm rot="19938026">
          <a:off x="0" y="19989390"/>
          <a:ext cx="7281289" cy="937629"/>
        </a:xfrm>
        <a:prstGeom prst="rect">
          <a:avLst/>
        </a:prstGeom>
        <a:noFill/>
      </xdr:spPr>
      <xdr:txBody>
        <a:bodyPr wrap="none" lIns="91440" tIns="45720" rIns="91440" bIns="45720">
          <a:spAutoFit/>
        </a:bodyPr>
        <a:lstStyle/>
        <a:p>
          <a:pPr algn="ctr"/>
          <a:r>
            <a:rPr lang="en-US" sz="5400" b="1" cap="none" spc="0">
              <a:ln w="12700">
                <a:solidFill>
                  <a:schemeClr val="accent3">
                    <a:lumMod val="50000"/>
                  </a:schemeClr>
                </a:solidFill>
                <a:prstDash val="solid"/>
              </a:ln>
              <a:pattFill prst="narHorz">
                <a:fgClr>
                  <a:schemeClr val="accent3"/>
                </a:fgClr>
                <a:bgClr>
                  <a:schemeClr val="accent3">
                    <a:lumMod val="40000"/>
                    <a:lumOff val="60000"/>
                  </a:schemeClr>
                </a:bgClr>
              </a:pattFill>
              <a:effectLst>
                <a:innerShdw blurRad="177800">
                  <a:schemeClr val="accent3">
                    <a:lumMod val="50000"/>
                  </a:schemeClr>
                </a:innerShdw>
              </a:effectLst>
            </a:rPr>
            <a:t>AEMO</a:t>
          </a:r>
          <a:r>
            <a:rPr lang="en-US" sz="5400" b="1" cap="none" spc="0" baseline="0">
              <a:ln w="12700">
                <a:solidFill>
                  <a:schemeClr val="accent3">
                    <a:lumMod val="50000"/>
                  </a:schemeClr>
                </a:solidFill>
                <a:prstDash val="solid"/>
              </a:ln>
              <a:pattFill prst="narHorz">
                <a:fgClr>
                  <a:schemeClr val="accent3"/>
                </a:fgClr>
                <a:bgClr>
                  <a:schemeClr val="accent3">
                    <a:lumMod val="40000"/>
                    <a:lumOff val="60000"/>
                  </a:schemeClr>
                </a:bgClr>
              </a:pattFill>
              <a:effectLst>
                <a:innerShdw blurRad="177800">
                  <a:schemeClr val="accent3">
                    <a:lumMod val="50000"/>
                  </a:schemeClr>
                </a:innerShdw>
              </a:effectLst>
            </a:rPr>
            <a:t> u</a:t>
          </a:r>
          <a:r>
            <a:rPr lang="en-US" sz="5400" b="1" cap="none" spc="0">
              <a:ln w="12700">
                <a:solidFill>
                  <a:schemeClr val="accent3">
                    <a:lumMod val="50000"/>
                  </a:schemeClr>
                </a:solidFill>
                <a:prstDash val="solid"/>
              </a:ln>
              <a:pattFill prst="narHorz">
                <a:fgClr>
                  <a:schemeClr val="accent3"/>
                </a:fgClr>
                <a:bgClr>
                  <a:schemeClr val="accent3">
                    <a:lumMod val="40000"/>
                    <a:lumOff val="60000"/>
                  </a:schemeClr>
                </a:bgClr>
              </a:pattFill>
              <a:effectLst>
                <a:innerShdw blurRad="177800">
                  <a:schemeClr val="accent3">
                    <a:lumMod val="50000"/>
                  </a:schemeClr>
                </a:innerShdw>
              </a:effectLst>
            </a:rPr>
            <a:t>nable to provide</a:t>
          </a:r>
        </a:p>
      </xdr:txBody>
    </xdr:sp>
    <xdr:clientData/>
  </xdr:oneCellAnchor>
  <xdr:oneCellAnchor>
    <xdr:from>
      <xdr:col>0</xdr:col>
      <xdr:colOff>0</xdr:colOff>
      <xdr:row>126</xdr:row>
      <xdr:rowOff>7469</xdr:rowOff>
    </xdr:from>
    <xdr:ext cx="7281289" cy="937629"/>
    <xdr:sp macro="" textlink="">
      <xdr:nvSpPr>
        <xdr:cNvPr id="3" name="Rectangle 2">
          <a:extLst>
            <a:ext uri="{FF2B5EF4-FFF2-40B4-BE49-F238E27FC236}">
              <a16:creationId xmlns:a16="http://schemas.microsoft.com/office/drawing/2014/main" id="{7E2EF800-21A2-4A1D-98FC-3E05B4AEBE6A}"/>
            </a:ext>
          </a:extLst>
        </xdr:cNvPr>
        <xdr:cNvSpPr/>
      </xdr:nvSpPr>
      <xdr:spPr>
        <a:xfrm rot="19938026">
          <a:off x="0" y="25795940"/>
          <a:ext cx="7281289" cy="937629"/>
        </a:xfrm>
        <a:prstGeom prst="rect">
          <a:avLst/>
        </a:prstGeom>
        <a:noFill/>
      </xdr:spPr>
      <xdr:txBody>
        <a:bodyPr wrap="none" lIns="91440" tIns="45720" rIns="91440" bIns="45720">
          <a:spAutoFit/>
        </a:bodyPr>
        <a:lstStyle/>
        <a:p>
          <a:pPr algn="ctr"/>
          <a:r>
            <a:rPr lang="en-US" sz="5400" b="1" cap="none" spc="0">
              <a:ln w="12700">
                <a:solidFill>
                  <a:schemeClr val="accent3">
                    <a:lumMod val="50000"/>
                  </a:schemeClr>
                </a:solidFill>
                <a:prstDash val="solid"/>
              </a:ln>
              <a:pattFill prst="narHorz">
                <a:fgClr>
                  <a:schemeClr val="accent3"/>
                </a:fgClr>
                <a:bgClr>
                  <a:schemeClr val="accent3">
                    <a:lumMod val="40000"/>
                    <a:lumOff val="60000"/>
                  </a:schemeClr>
                </a:bgClr>
              </a:pattFill>
              <a:effectLst>
                <a:innerShdw blurRad="177800">
                  <a:schemeClr val="accent3">
                    <a:lumMod val="50000"/>
                  </a:schemeClr>
                </a:innerShdw>
              </a:effectLst>
            </a:rPr>
            <a:t>AEMO</a:t>
          </a:r>
          <a:r>
            <a:rPr lang="en-US" sz="5400" b="1" cap="none" spc="0" baseline="0">
              <a:ln w="12700">
                <a:solidFill>
                  <a:schemeClr val="accent3">
                    <a:lumMod val="50000"/>
                  </a:schemeClr>
                </a:solidFill>
                <a:prstDash val="solid"/>
              </a:ln>
              <a:pattFill prst="narHorz">
                <a:fgClr>
                  <a:schemeClr val="accent3"/>
                </a:fgClr>
                <a:bgClr>
                  <a:schemeClr val="accent3">
                    <a:lumMod val="40000"/>
                    <a:lumOff val="60000"/>
                  </a:schemeClr>
                </a:bgClr>
              </a:pattFill>
              <a:effectLst>
                <a:innerShdw blurRad="177800">
                  <a:schemeClr val="accent3">
                    <a:lumMod val="50000"/>
                  </a:schemeClr>
                </a:innerShdw>
              </a:effectLst>
            </a:rPr>
            <a:t> u</a:t>
          </a:r>
          <a:r>
            <a:rPr lang="en-US" sz="5400" b="1" cap="none" spc="0">
              <a:ln w="12700">
                <a:solidFill>
                  <a:schemeClr val="accent3">
                    <a:lumMod val="50000"/>
                  </a:schemeClr>
                </a:solidFill>
                <a:prstDash val="solid"/>
              </a:ln>
              <a:pattFill prst="narHorz">
                <a:fgClr>
                  <a:schemeClr val="accent3"/>
                </a:fgClr>
                <a:bgClr>
                  <a:schemeClr val="accent3">
                    <a:lumMod val="40000"/>
                    <a:lumOff val="60000"/>
                  </a:schemeClr>
                </a:bgClr>
              </a:pattFill>
              <a:effectLst>
                <a:innerShdw blurRad="177800">
                  <a:schemeClr val="accent3">
                    <a:lumMod val="50000"/>
                  </a:schemeClr>
                </a:innerShdw>
              </a:effectLst>
            </a:rPr>
            <a:t>nable to provide</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aemocloud-my.sharepoint.com/BMMC/AEMO/5.%20WA/7.%20Presentations/1.%20Aug%20Board/AEMO-Corporate%20Financial%20Model%20AR%5e%20Aug%20Board.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aemocloud-my.sharepoint.com/sites/WAAllowableRevenue-AR6/Shared%20Documents/Regulatory%20Reporting%20FY22/Depreciation%20schedule%20working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escient2-my.sharepoint.com/Users/vsen/Documents/Personal/AusSuper/Budget/Workbook/xx%20Archive%20workbook/Copy%20of%20Digital%20Financial%20Workbook%202017020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verview"/>
      <sheetName val="Summaries"/>
      <sheetName val="Changes_Log"/>
      <sheetName val="Dashboard"/>
      <sheetName val="Ratios_Dash"/>
      <sheetName val="Ent_Dash"/>
      <sheetName val="CC_Dash"/>
      <sheetName val="IS"/>
      <sheetName val="BS"/>
      <sheetName val="CF"/>
      <sheetName val="Enterprise_Summary"/>
      <sheetName val="Summary_by_CC"/>
      <sheetName val="Summary_by_Dept"/>
      <sheetName val="Summary_by_Ent"/>
      <sheetName val="Summary_by_Ent_Group"/>
      <sheetName val="CC_Summaries"/>
      <sheetName val="Ent_Summaries"/>
      <sheetName val="Pricing_Paths"/>
      <sheetName val="Capex_Summary"/>
      <sheetName val="Dashboard_Data"/>
      <sheetName val="Tariff_Doc"/>
      <sheetName val="FCC Plan"/>
      <sheetName val="ELT Pack"/>
      <sheetName val="FCC Budget Pack"/>
      <sheetName val="Budget Pack"/>
      <sheetName val="WA_ERA"/>
      <sheetName val="Allocations"/>
      <sheetName val="Alloc_CC_to_Ent"/>
      <sheetName val="Alloc_Year"/>
      <sheetName val="Alloc_Indirect"/>
      <sheetName val="Alloc_Calcs"/>
      <sheetName val="Alloc_Capex_Opex"/>
      <sheetName val="Assumptions"/>
      <sheetName val="Sensitivities"/>
      <sheetName val="Sens_by_Year"/>
      <sheetName val="Capex_Labour"/>
      <sheetName val="Escalation"/>
      <sheetName val="Cash_Debt"/>
      <sheetName val="Leases"/>
      <sheetName val="Volumes"/>
      <sheetName val="Cost_Centres"/>
      <sheetName val="Finance"/>
      <sheetName val="CEO"/>
      <sheetName val="Emerg_Mkts"/>
      <sheetName val="Enterprise"/>
      <sheetName val="Ext_Affairs"/>
      <sheetName val="Gov_Board"/>
      <sheetName val="Governance"/>
      <sheetName val="Gov_Trans_Proc"/>
      <sheetName val="Ops_Gas"/>
      <sheetName val="Ops_Electricity"/>
      <sheetName val="Ops_Sys"/>
      <sheetName val="Ops_Support"/>
      <sheetName val="Ops_OH"/>
      <sheetName val="People_Culture"/>
      <sheetName val="Mkts_Enhance"/>
      <sheetName val="Mkts_Ops"/>
      <sheetName val="Mkts_Perform"/>
      <sheetName val="Mkts_OH"/>
      <sheetName val="Reg_Strat"/>
      <sheetName val="SDE_General"/>
      <sheetName val="SDE_Engineer"/>
      <sheetName val="SDE_VIC"/>
      <sheetName val="SDE_Connect"/>
      <sheetName val="SDE_Forecast"/>
      <sheetName val="SDE_Plan"/>
      <sheetName val="Tech_BA"/>
      <sheetName val="Tech_Data_Mgt"/>
      <sheetName val="Tech_Ent_App"/>
      <sheetName val="Tech_Infra_Ops"/>
      <sheetName val="Tech_Port_Mgt"/>
      <sheetName val="Tech_Cyber"/>
      <sheetName val="Tech_OH"/>
      <sheetName val="WA_OH"/>
      <sheetName val="WA_Sys_Mgt"/>
      <sheetName val="WA_Mkts"/>
      <sheetName val="SpareCC1"/>
      <sheetName val="SpareCC2"/>
      <sheetName val="SpareCC3"/>
      <sheetName val="SpareCC4"/>
      <sheetName val="SpareCC5"/>
      <sheetName val="Entities"/>
      <sheetName val="E01"/>
      <sheetName val="E02"/>
      <sheetName val="E04"/>
      <sheetName val="E06"/>
      <sheetName val="E11"/>
      <sheetName val="E13"/>
      <sheetName val="E14"/>
      <sheetName val="G21"/>
      <sheetName val="G22"/>
      <sheetName val="G23"/>
      <sheetName val="G24"/>
      <sheetName val="G25"/>
      <sheetName val="G26"/>
      <sheetName val="G27"/>
      <sheetName val="G29"/>
      <sheetName val="G31"/>
      <sheetName val="G33"/>
      <sheetName val="G35"/>
      <sheetName val="G36"/>
      <sheetName val="G37"/>
      <sheetName val="G38"/>
      <sheetName val="O51"/>
      <sheetName val="O52"/>
      <sheetName val="O54"/>
      <sheetName val="O55"/>
      <sheetName val="W02"/>
      <sheetName val="W03"/>
      <sheetName val="W05"/>
      <sheetName val="W09"/>
      <sheetName val="W10"/>
      <sheetName val="W11"/>
      <sheetName val="INACTIVE"/>
      <sheetName val="SP1"/>
      <sheetName val="SP2"/>
      <sheetName val="SP3"/>
      <sheetName val="Imports Exports"/>
      <sheetName val="Alloc_Import"/>
      <sheetName val="Other_Import"/>
      <sheetName val="Capex_Import"/>
      <sheetName val="Appendices"/>
      <sheetName val="Time"/>
      <sheetName val="Lookups"/>
      <sheetName val="Check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formation"/>
      <sheetName val="Control"/>
      <sheetName val="Change Log"/>
      <sheetName val="Reporting &gt;&gt;"/>
      <sheetName val="Tables"/>
      <sheetName val="AR5 Projects"/>
      <sheetName val="Project List - FY (2)"/>
      <sheetName val="AR5 Capex tracker (EOM Sept)"/>
      <sheetName val="AR5 Tracker (as at Sept 21)"/>
      <sheetName val="Sheet5"/>
      <sheetName val="Project List - FY"/>
      <sheetName val="AR5 Tracker(as at Jan'22)"/>
      <sheetName val="Summary"/>
      <sheetName val="Proposal Tables"/>
      <sheetName val="Proposal Charts"/>
      <sheetName val="Checks"/>
      <sheetName val="ERA Templates &gt;&gt;"/>
      <sheetName val="Capex"/>
      <sheetName val="WEM Reform Asset values"/>
      <sheetName val="D&amp;A"/>
      <sheetName val="Consolidation &gt;&gt;"/>
      <sheetName val="FinMod Template"/>
      <sheetName val="Sheet1"/>
      <sheetName val="Consolidation"/>
      <sheetName val="D&amp;A workpaper"/>
      <sheetName val="Project details"/>
      <sheetName val="D&amp;A &gt;&gt;"/>
      <sheetName val="Accounting Paper "/>
      <sheetName val="Project D&amp;A"/>
      <sheetName val="New Assets"/>
      <sheetName val="WA FAR"/>
      <sheetName val="WA Digital"/>
      <sheetName val="WA in-flight"/>
      <sheetName val="Existing assets"/>
      <sheetName val="D&amp;A Export"/>
      <sheetName val="Opex&gt;&gt;"/>
      <sheetName val="Incremental opex"/>
      <sheetName val="Opex Export"/>
      <sheetName val="FTS Summaries &gt;&gt;"/>
      <sheetName val="WEM_Reform"/>
      <sheetName val="DER InFlight"/>
      <sheetName val="DER 4"/>
      <sheetName val="DER 5"/>
      <sheetName val="DER 6"/>
      <sheetName val="DER 7"/>
      <sheetName val="DER 8"/>
      <sheetName val="WEM Cert"/>
      <sheetName val="RLM"/>
      <sheetName val="Itron"/>
      <sheetName val="Perth CR"/>
      <sheetName val="5MS"/>
      <sheetName val="5MS Planning"/>
      <sheetName val="LC - EDP"/>
      <sheetName val="LC - Integration"/>
      <sheetName val="LC - Mkt"/>
      <sheetName val="WAMS"/>
      <sheetName val="CR Backup"/>
      <sheetName val="TSaT"/>
      <sheetName val="WEM Ops Sim"/>
      <sheetName val="Rule Changes"/>
      <sheetName val="DER Register -closed project"/>
      <sheetName val="Ent Programs &gt;&gt;"/>
      <sheetName val="EMS"/>
      <sheetName val="Cyber"/>
      <sheetName val="Ops Forecasting"/>
      <sheetName val="WEM Onboarding Ops forecasting"/>
      <sheetName val="Norwest"/>
      <sheetName val="Other &gt;&gt;"/>
      <sheetName val="Lists"/>
      <sheetName val="Ent Allocations"/>
      <sheetName val="Cyber Alloc"/>
      <sheetName val="Contingency"/>
      <sheetName val="11 Nov 21"/>
      <sheetName val="WEM Forum"/>
      <sheetName val="Sept Board Consol"/>
      <sheetName val="Pivo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ocument Control"/>
      <sheetName val="Information"/>
      <sheetName val="OpexCapex Guidance"/>
      <sheetName val="Financial Summary Report"/>
      <sheetName val="Monthly Summary View"/>
      <sheetName val="Approved Budget"/>
      <sheetName val="Actuals &amp; Estimates"/>
      <sheetName val="Actuals &amp; Estimates (Resources)"/>
      <sheetName val="Invoices"/>
      <sheetName val="AccountCodes CostCentres"/>
      <sheetName val="Data LookUp"/>
      <sheetName val="Resource Allocation"/>
      <sheetName val="Quarterly Reporting"/>
      <sheetName val="Quaterly Report-v2"/>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persons/person.xml><?xml version="1.0" encoding="utf-8"?>
<personList xmlns="http://schemas.microsoft.com/office/spreadsheetml/2018/threadedcomments" xmlns:x="http://schemas.openxmlformats.org/spreadsheetml/2006/main">
  <person displayName="Ganesh Saravanan" id="{C0C9191C-7935-4755-B347-5AFEABC242EA}" userId="S::Ganesh.Saravanan@aemo.com.au::5b537d42-3143-4eb0-8505-3d531fbf5cd6"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K10" dT="2023-06-07T03:05:35.47" personId="{C0C9191C-7935-4755-B347-5AFEABC242EA}" id="{EACBA1E1-AD34-4A0B-887F-C1334526A198}">
    <text>This budget does not include deferred portion of the project (P3028)</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 Id="rId4" Type="http://schemas.microsoft.com/office/2017/10/relationships/threadedComment" Target="../threadedComments/threadedComment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B9A69B-2F6F-4D08-AA0F-A6705C1EF156}">
  <dimension ref="A1:O166"/>
  <sheetViews>
    <sheetView topLeftCell="A139" zoomScale="85" zoomScaleNormal="85" workbookViewId="0">
      <pane xSplit="1" topLeftCell="B1" activePane="topRight" state="frozen"/>
      <selection pane="topRight" activeCell="K16" sqref="K16"/>
      <selection activeCell="P23" sqref="P23"/>
    </sheetView>
  </sheetViews>
  <sheetFormatPr defaultColWidth="13" defaultRowHeight="15"/>
  <cols>
    <col min="1" max="1" width="56.42578125" style="4" bestFit="1" customWidth="1"/>
    <col min="2" max="4" width="19.42578125" style="2" customWidth="1"/>
    <col min="5" max="5" width="23.42578125" style="2" customWidth="1"/>
    <col min="6" max="7" width="23.42578125" style="3" customWidth="1"/>
    <col min="8" max="8" width="3.42578125" style="4" customWidth="1"/>
    <col min="9" max="9" width="13" style="4"/>
    <col min="10" max="10" width="13.42578125" style="4" bestFit="1" customWidth="1"/>
    <col min="11" max="16384" width="13" style="4"/>
  </cols>
  <sheetData>
    <row r="1" spans="1:10" ht="21">
      <c r="A1" s="1" t="s">
        <v>0</v>
      </c>
    </row>
    <row r="2" spans="1:10" ht="19.5" thickBot="1">
      <c r="A2" s="5" t="s">
        <v>1</v>
      </c>
    </row>
    <row r="3" spans="1:10" ht="19.5" thickBot="1">
      <c r="A3" s="5" t="s">
        <v>2</v>
      </c>
      <c r="B3" s="274" t="s">
        <v>3</v>
      </c>
      <c r="C3" s="275"/>
      <c r="D3" s="276"/>
      <c r="E3" s="277" t="s">
        <v>4</v>
      </c>
      <c r="F3" s="278"/>
      <c r="G3" s="279"/>
    </row>
    <row r="4" spans="1:10" s="11" customFormat="1" ht="46.35" customHeight="1" thickBot="1">
      <c r="A4" s="6" t="s">
        <v>5</v>
      </c>
      <c r="B4" s="7" t="s">
        <v>6</v>
      </c>
      <c r="C4" s="8" t="s">
        <v>7</v>
      </c>
      <c r="D4" s="9" t="s">
        <v>8</v>
      </c>
      <c r="E4" s="7" t="s">
        <v>8</v>
      </c>
      <c r="F4" s="8" t="s">
        <v>9</v>
      </c>
      <c r="G4" s="9" t="s">
        <v>10</v>
      </c>
      <c r="H4" s="10"/>
    </row>
    <row r="5" spans="1:10" s="18" customFormat="1">
      <c r="A5" s="12" t="s">
        <v>11</v>
      </c>
      <c r="B5" s="13"/>
      <c r="C5" s="14"/>
      <c r="D5" s="15"/>
      <c r="E5" s="13"/>
      <c r="F5" s="16" t="str">
        <f>IF(E5=0,"",D5/E5)</f>
        <v/>
      </c>
      <c r="G5" s="17" t="str">
        <f t="shared" ref="G5:G27" si="0">IF(F5="Previous budget value cannot be 0","",IF(E5=0,"",IF(ABS(F5)&gt;0.1,"YES",IF(F5="","",IF(ABS(F5)&gt;0.01*$D$27,"YES","")))))</f>
        <v/>
      </c>
      <c r="H5" s="4"/>
    </row>
    <row r="6" spans="1:10">
      <c r="A6" s="19" t="s">
        <v>12</v>
      </c>
      <c r="B6" s="153">
        <v>56083.192480000005</v>
      </c>
      <c r="C6" s="154"/>
      <c r="D6" s="155">
        <f t="shared" ref="D6:D27" si="1">SUM(B6:C6)</f>
        <v>56083.192480000005</v>
      </c>
      <c r="E6" s="156">
        <v>41899.345020000001</v>
      </c>
      <c r="F6" s="24">
        <f>IF(E6=0,"",D6/E6-1)</f>
        <v>0.33852193759185423</v>
      </c>
      <c r="G6" s="25" t="str">
        <f t="shared" si="0"/>
        <v>YES</v>
      </c>
    </row>
    <row r="7" spans="1:10">
      <c r="A7" s="19" t="s">
        <v>13</v>
      </c>
      <c r="B7" s="153">
        <v>0</v>
      </c>
      <c r="C7" s="154"/>
      <c r="D7" s="155">
        <f t="shared" si="1"/>
        <v>0</v>
      </c>
      <c r="E7" s="156">
        <v>0</v>
      </c>
      <c r="F7" s="24" t="str">
        <f>IF(E7=0,"",D7/E7-1)</f>
        <v/>
      </c>
      <c r="G7" s="25" t="str">
        <f t="shared" si="0"/>
        <v/>
      </c>
      <c r="I7"/>
    </row>
    <row r="8" spans="1:10" ht="15.75" thickBot="1">
      <c r="A8" s="26" t="s">
        <v>14</v>
      </c>
      <c r="B8" s="157">
        <f>SUM(B6:B7)</f>
        <v>56083.192480000005</v>
      </c>
      <c r="C8" s="158"/>
      <c r="D8" s="159">
        <f t="shared" si="1"/>
        <v>56083.192480000005</v>
      </c>
      <c r="E8" s="160">
        <f>SUM(E6:E7)</f>
        <v>41899.345020000001</v>
      </c>
      <c r="F8" s="29">
        <f>IF(E8=0,"",D8/E8-1)</f>
        <v>0.33852193759185423</v>
      </c>
      <c r="G8" s="30" t="str">
        <f t="shared" si="0"/>
        <v>YES</v>
      </c>
      <c r="I8"/>
    </row>
    <row r="9" spans="1:10">
      <c r="A9" s="31" t="s">
        <v>15</v>
      </c>
      <c r="B9" s="169"/>
      <c r="C9" s="162"/>
      <c r="D9" s="163">
        <f t="shared" si="1"/>
        <v>0</v>
      </c>
      <c r="E9" s="161"/>
      <c r="F9" s="35" t="str">
        <f>IF(E9=0,"",D9/E9)</f>
        <v/>
      </c>
      <c r="G9" s="36" t="str">
        <f t="shared" si="0"/>
        <v/>
      </c>
    </row>
    <row r="10" spans="1:10">
      <c r="A10" s="37" t="s">
        <v>16</v>
      </c>
      <c r="B10" s="156">
        <f>SUM(B11:B12)</f>
        <v>27343.752044999481</v>
      </c>
      <c r="C10" s="164">
        <v>0</v>
      </c>
      <c r="D10" s="155">
        <f t="shared" si="1"/>
        <v>27343.752044999481</v>
      </c>
      <c r="E10" s="156">
        <f>SUM(E11:E12)</f>
        <v>22896.082960000116</v>
      </c>
      <c r="F10" s="24">
        <f>IF(E10=0,"",D10/E10-1)</f>
        <v>0.19425458462783896</v>
      </c>
      <c r="G10" s="25" t="str">
        <f t="shared" si="0"/>
        <v>YES</v>
      </c>
    </row>
    <row r="11" spans="1:10">
      <c r="A11" s="39" t="s">
        <v>17</v>
      </c>
      <c r="B11" s="165">
        <v>27314.253974999479</v>
      </c>
      <c r="C11" s="164">
        <v>0</v>
      </c>
      <c r="D11" s="155">
        <f t="shared" si="1"/>
        <v>27314.253974999479</v>
      </c>
      <c r="E11" s="156">
        <v>22896.082960000116</v>
      </c>
      <c r="F11" s="24">
        <f t="shared" ref="F11:F27" si="2">IF(E11=0,"",D11/E11-1)</f>
        <v>0.1929662389290776</v>
      </c>
      <c r="G11" s="25" t="str">
        <f t="shared" si="0"/>
        <v>YES</v>
      </c>
      <c r="I11" s="42"/>
    </row>
    <row r="12" spans="1:10">
      <c r="A12" s="39" t="s">
        <v>18</v>
      </c>
      <c r="B12" s="165">
        <v>29.498069999999998</v>
      </c>
      <c r="C12" s="164">
        <v>0</v>
      </c>
      <c r="D12" s="155">
        <f t="shared" si="1"/>
        <v>29.498069999999998</v>
      </c>
      <c r="E12" s="156">
        <v>0</v>
      </c>
      <c r="F12" s="24" t="str">
        <f t="shared" si="2"/>
        <v/>
      </c>
      <c r="G12" s="25" t="str">
        <f t="shared" si="0"/>
        <v/>
      </c>
      <c r="I12" s="40"/>
    </row>
    <row r="13" spans="1:10">
      <c r="A13" s="41" t="s">
        <v>19</v>
      </c>
      <c r="B13" s="153">
        <v>2583.9300364000051</v>
      </c>
      <c r="C13" s="164">
        <v>1100</v>
      </c>
      <c r="D13" s="155">
        <f t="shared" si="1"/>
        <v>3683.9300364000051</v>
      </c>
      <c r="E13" s="156">
        <v>1306.3559200000007</v>
      </c>
      <c r="F13" s="24">
        <f t="shared" si="2"/>
        <v>1.8200048547259642</v>
      </c>
      <c r="G13" s="25" t="str">
        <f t="shared" si="0"/>
        <v>YES</v>
      </c>
      <c r="I13" s="42"/>
    </row>
    <row r="14" spans="1:10">
      <c r="A14" s="41" t="s">
        <v>20</v>
      </c>
      <c r="B14" s="153">
        <v>315.19749960000343</v>
      </c>
      <c r="C14" s="164">
        <v>291</v>
      </c>
      <c r="D14" s="155">
        <f t="shared" si="1"/>
        <v>606.19749960000343</v>
      </c>
      <c r="E14" s="156">
        <v>705.48684000000071</v>
      </c>
      <c r="F14" s="24">
        <f t="shared" si="2"/>
        <v>-0.14073875623250065</v>
      </c>
      <c r="G14" s="25" t="str">
        <f t="shared" si="0"/>
        <v>YES</v>
      </c>
    </row>
    <row r="15" spans="1:10">
      <c r="A15" s="41" t="s">
        <v>21</v>
      </c>
      <c r="B15" s="153">
        <v>867.55200000000002</v>
      </c>
      <c r="C15" s="154"/>
      <c r="D15" s="155">
        <f t="shared" si="1"/>
        <v>867.55200000000002</v>
      </c>
      <c r="E15" s="156">
        <v>784.3064799999994</v>
      </c>
      <c r="F15" s="24">
        <f t="shared" si="2"/>
        <v>0.10613901851225394</v>
      </c>
      <c r="G15" s="25" t="str">
        <f t="shared" si="0"/>
        <v>YES</v>
      </c>
      <c r="I15" s="42"/>
      <c r="J15" s="149"/>
    </row>
    <row r="16" spans="1:10">
      <c r="A16" s="41" t="s">
        <v>22</v>
      </c>
      <c r="B16" s="153">
        <v>14674.195979000013</v>
      </c>
      <c r="C16" s="154"/>
      <c r="D16" s="155">
        <f t="shared" si="1"/>
        <v>14674.195979000013</v>
      </c>
      <c r="E16" s="156">
        <v>11235.479419999981</v>
      </c>
      <c r="F16" s="24">
        <f t="shared" si="2"/>
        <v>0.3060587297128472</v>
      </c>
      <c r="G16" s="25" t="str">
        <f t="shared" si="0"/>
        <v>YES</v>
      </c>
      <c r="I16" s="168"/>
    </row>
    <row r="17" spans="1:15">
      <c r="A17" s="41" t="s">
        <v>23</v>
      </c>
      <c r="B17" s="153">
        <v>2492.4665921999995</v>
      </c>
      <c r="C17" s="154"/>
      <c r="D17" s="155">
        <f t="shared" si="1"/>
        <v>2492.4665921999995</v>
      </c>
      <c r="E17" s="156">
        <v>1656.1397999999992</v>
      </c>
      <c r="F17" s="24">
        <f t="shared" si="2"/>
        <v>0.50498562512657474</v>
      </c>
      <c r="G17" s="25" t="str">
        <f t="shared" si="0"/>
        <v>YES</v>
      </c>
      <c r="I17" s="42"/>
    </row>
    <row r="18" spans="1:15">
      <c r="A18" s="37" t="s">
        <v>24</v>
      </c>
      <c r="B18" s="156">
        <f>SUM(B19:B22)</f>
        <v>3949.6237827999962</v>
      </c>
      <c r="C18" s="164">
        <v>0</v>
      </c>
      <c r="D18" s="155">
        <f t="shared" si="1"/>
        <v>3949.6237827999962</v>
      </c>
      <c r="E18" s="156">
        <f>SUM(E19:E22)</f>
        <v>2086.5126399999976</v>
      </c>
      <c r="F18" s="24">
        <f t="shared" si="2"/>
        <v>0.89293067632698397</v>
      </c>
      <c r="G18" s="25" t="str">
        <f t="shared" si="0"/>
        <v>YES</v>
      </c>
      <c r="I18" s="42"/>
    </row>
    <row r="19" spans="1:15">
      <c r="A19" s="19" t="s">
        <v>25</v>
      </c>
      <c r="B19" s="153">
        <v>1208.5650000000001</v>
      </c>
      <c r="C19" s="164">
        <v>0</v>
      </c>
      <c r="D19" s="155">
        <f t="shared" si="1"/>
        <v>1208.5650000000001</v>
      </c>
      <c r="E19" s="156">
        <v>50.97359999999999</v>
      </c>
      <c r="F19" s="24">
        <f t="shared" si="2"/>
        <v>22.709626159423706</v>
      </c>
      <c r="G19" s="25" t="str">
        <f t="shared" si="0"/>
        <v>YES</v>
      </c>
      <c r="I19" s="42"/>
    </row>
    <row r="20" spans="1:15">
      <c r="A20" s="19" t="s">
        <v>26</v>
      </c>
      <c r="B20" s="153">
        <v>2401.6777827999958</v>
      </c>
      <c r="C20" s="164">
        <v>0</v>
      </c>
      <c r="D20" s="155">
        <f t="shared" si="1"/>
        <v>2401.6777827999958</v>
      </c>
      <c r="E20" s="156">
        <v>1604.8601999999976</v>
      </c>
      <c r="F20" s="24">
        <f t="shared" si="2"/>
        <v>0.49650279993235524</v>
      </c>
      <c r="G20" s="25" t="str">
        <f t="shared" si="0"/>
        <v>YES</v>
      </c>
      <c r="I20" s="42"/>
    </row>
    <row r="21" spans="1:15">
      <c r="A21" s="19" t="s">
        <v>27</v>
      </c>
      <c r="B21" s="153">
        <v>284.86500000000001</v>
      </c>
      <c r="C21" s="164">
        <v>0</v>
      </c>
      <c r="D21" s="155">
        <f t="shared" si="1"/>
        <v>284.86500000000001</v>
      </c>
      <c r="E21" s="156">
        <v>376.36227999999983</v>
      </c>
      <c r="F21" s="24">
        <f t="shared" si="2"/>
        <v>-0.24310959110992703</v>
      </c>
      <c r="G21" s="25" t="str">
        <f t="shared" si="0"/>
        <v>YES</v>
      </c>
      <c r="I21" s="42"/>
      <c r="J21" s="148"/>
      <c r="K21" s="40"/>
      <c r="L21"/>
      <c r="M21"/>
    </row>
    <row r="22" spans="1:15">
      <c r="A22" s="19" t="s">
        <v>28</v>
      </c>
      <c r="B22" s="153">
        <v>54.515999999999998</v>
      </c>
      <c r="C22" s="164">
        <v>0</v>
      </c>
      <c r="D22" s="155">
        <f t="shared" si="1"/>
        <v>54.515999999999998</v>
      </c>
      <c r="E22" s="156">
        <v>54.316560000000003</v>
      </c>
      <c r="F22" s="24">
        <f t="shared" si="2"/>
        <v>3.6718083766718035E-3</v>
      </c>
      <c r="G22" s="25" t="str">
        <f t="shared" si="0"/>
        <v/>
      </c>
      <c r="I22" s="40"/>
      <c r="J22" s="148"/>
      <c r="K22" s="40"/>
      <c r="L22"/>
      <c r="M22"/>
    </row>
    <row r="23" spans="1:15">
      <c r="A23" s="37" t="s">
        <v>29</v>
      </c>
      <c r="B23" s="156">
        <f>SUM(B24:B25)</f>
        <v>0</v>
      </c>
      <c r="C23" s="154"/>
      <c r="D23" s="155">
        <f t="shared" si="1"/>
        <v>0</v>
      </c>
      <c r="E23" s="156">
        <f>SUM(E24:E25)</f>
        <v>0</v>
      </c>
      <c r="F23" s="24" t="str">
        <f t="shared" si="2"/>
        <v/>
      </c>
      <c r="G23" s="25" t="str">
        <f t="shared" si="0"/>
        <v/>
      </c>
      <c r="I23" s="42"/>
      <c r="J23" s="148"/>
      <c r="K23" s="40"/>
      <c r="L23"/>
      <c r="M23"/>
    </row>
    <row r="24" spans="1:15">
      <c r="A24" s="19" t="s">
        <v>30</v>
      </c>
      <c r="B24" s="170"/>
      <c r="C24" s="154"/>
      <c r="D24" s="155">
        <f t="shared" si="1"/>
        <v>0</v>
      </c>
      <c r="E24" s="166"/>
      <c r="F24" s="24" t="str">
        <f t="shared" si="2"/>
        <v/>
      </c>
      <c r="G24" s="25" t="str">
        <f t="shared" si="0"/>
        <v/>
      </c>
      <c r="I24" s="174"/>
      <c r="J24" s="148"/>
      <c r="K24" s="40"/>
      <c r="L24"/>
      <c r="M24"/>
    </row>
    <row r="25" spans="1:15">
      <c r="A25" s="19" t="s">
        <v>31</v>
      </c>
      <c r="B25" s="170"/>
      <c r="C25" s="154"/>
      <c r="D25" s="155">
        <f t="shared" si="1"/>
        <v>0</v>
      </c>
      <c r="E25" s="166"/>
      <c r="F25" s="24" t="str">
        <f t="shared" si="2"/>
        <v/>
      </c>
      <c r="G25" s="25" t="str">
        <f t="shared" si="0"/>
        <v/>
      </c>
      <c r="I25" s="174"/>
      <c r="J25" s="148"/>
      <c r="K25" s="40"/>
      <c r="L25"/>
      <c r="M25"/>
    </row>
    <row r="26" spans="1:15">
      <c r="A26" s="41" t="s">
        <v>32</v>
      </c>
      <c r="B26" s="153">
        <v>1425.7295688999934</v>
      </c>
      <c r="C26" s="164">
        <v>0</v>
      </c>
      <c r="D26" s="155">
        <f t="shared" si="1"/>
        <v>1425.7295688999934</v>
      </c>
      <c r="E26" s="156">
        <v>1871.4323400000035</v>
      </c>
      <c r="F26" s="24">
        <f t="shared" si="2"/>
        <v>-0.23816130648891598</v>
      </c>
      <c r="G26" s="25" t="str">
        <f t="shared" si="0"/>
        <v>YES</v>
      </c>
      <c r="I26" s="42"/>
      <c r="J26" s="148"/>
      <c r="K26" s="40"/>
      <c r="L26"/>
      <c r="M26"/>
    </row>
    <row r="27" spans="1:15">
      <c r="A27" s="43" t="s">
        <v>33</v>
      </c>
      <c r="B27" s="156">
        <f>SUM(B13,B26,B23,B18,B17,B16,B15,B14,B10)</f>
        <v>53652.447503899486</v>
      </c>
      <c r="C27" s="164">
        <f>SUM(C26,C18,C14,C13,C10)</f>
        <v>1391</v>
      </c>
      <c r="D27" s="155">
        <f t="shared" si="1"/>
        <v>55043.447503899486</v>
      </c>
      <c r="E27" s="156">
        <f>SUM(E13,E26,E23,E18,E17,E16,E15,E14,E10)</f>
        <v>42541.796400000094</v>
      </c>
      <c r="F27" s="24">
        <f t="shared" si="2"/>
        <v>0.29386749413100399</v>
      </c>
      <c r="G27" s="25" t="str">
        <f t="shared" si="0"/>
        <v>YES</v>
      </c>
      <c r="I27" s="42"/>
      <c r="J27" s="148"/>
      <c r="K27" s="40"/>
      <c r="L27"/>
      <c r="M27"/>
    </row>
    <row r="28" spans="1:15" ht="15.75" thickBot="1">
      <c r="A28" s="44" t="s">
        <v>34</v>
      </c>
      <c r="B28" s="157">
        <f>B8-B27</f>
        <v>2430.7449761005191</v>
      </c>
      <c r="C28" s="158"/>
      <c r="D28" s="159">
        <f>D8-D27</f>
        <v>1039.7449761005191</v>
      </c>
      <c r="E28" s="159" t="b">
        <f>A63=E8-E27</f>
        <v>0</v>
      </c>
      <c r="F28" s="29" t="e">
        <f>IF(E28=0,"",D28/E28)</f>
        <v>#DIV/0!</v>
      </c>
      <c r="G28" s="30"/>
      <c r="I28"/>
      <c r="J28" s="148"/>
      <c r="K28" s="40"/>
      <c r="L28"/>
      <c r="M28"/>
    </row>
    <row r="29" spans="1:15">
      <c r="D29" s="2" t="str">
        <f>IF(B29="","",SUM(B29:C29))</f>
        <v/>
      </c>
      <c r="F29" s="45" t="str">
        <f>IF(E29="","",D29/E29-1)</f>
        <v/>
      </c>
      <c r="G29" s="3" t="str">
        <f>IF(F29="Previous budget value cannot be 0","",IF(E29="","",IF(ABS(F29)&gt;0.1,"YES",IF(ABS(F29)&gt;0.01*$D$27,"YES",""))))</f>
        <v/>
      </c>
      <c r="J29" s="148"/>
      <c r="K29" s="175"/>
      <c r="L29" s="152"/>
      <c r="M29" s="152"/>
      <c r="N29" s="167"/>
      <c r="O29"/>
    </row>
    <row r="30" spans="1:15">
      <c r="D30" s="2" t="str">
        <f>IF(B30="","",SUM(B30:C30))</f>
        <v/>
      </c>
      <c r="F30" s="45" t="str">
        <f>IF(E30="","",D30/E30-1)</f>
        <v/>
      </c>
      <c r="G30" s="3" t="str">
        <f>IF(F30="Previous budget value cannot be 0","",IF(E30="","",IF(ABS(F30)&gt;0.1,"YES",IF(ABS(F30)&gt;0.01*$D$27,"YES",""))))</f>
        <v/>
      </c>
      <c r="K30" s="175"/>
      <c r="L30" s="152"/>
      <c r="M30" s="152"/>
      <c r="N30"/>
      <c r="O30"/>
    </row>
    <row r="31" spans="1:15" ht="21.75" thickBot="1">
      <c r="A31" s="1" t="s">
        <v>35</v>
      </c>
      <c r="D31" s="2" t="str">
        <f>IF(B31="","",SUM(B31:C31))</f>
        <v/>
      </c>
      <c r="F31" s="45" t="str">
        <f>IF(E31="","",D31/E31-1)</f>
        <v/>
      </c>
      <c r="G31" s="3" t="str">
        <f>IF(F31="Previous budget value cannot be 0","",IF(E31="","",IF(ABS(F31)&gt;0.1,"YES",IF(ABS(F31)&gt;0.01*$D$27,"YES",""))))</f>
        <v/>
      </c>
      <c r="J31" s="151"/>
      <c r="K31" s="237"/>
      <c r="L31" s="152"/>
      <c r="M31" s="152"/>
      <c r="N31"/>
      <c r="O31"/>
    </row>
    <row r="32" spans="1:15" ht="14.85" customHeight="1" thickBot="1">
      <c r="A32" s="1" t="s">
        <v>36</v>
      </c>
      <c r="B32" s="274" t="s">
        <v>3</v>
      </c>
      <c r="C32" s="275"/>
      <c r="D32" s="276"/>
      <c r="E32" s="277" t="s">
        <v>4</v>
      </c>
      <c r="F32" s="278"/>
      <c r="G32" s="279"/>
      <c r="K32" s="42"/>
      <c r="L32" s="152"/>
      <c r="M32" s="152"/>
      <c r="N32" s="167"/>
      <c r="O32"/>
    </row>
    <row r="33" spans="1:15" ht="41.85" customHeight="1" thickBot="1">
      <c r="A33" s="6" t="s">
        <v>37</v>
      </c>
      <c r="B33" s="7" t="s">
        <v>6</v>
      </c>
      <c r="C33" s="8" t="s">
        <v>7</v>
      </c>
      <c r="D33" s="9" t="s">
        <v>8</v>
      </c>
      <c r="E33" s="7" t="s">
        <v>8</v>
      </c>
      <c r="F33" s="8" t="s">
        <v>9</v>
      </c>
      <c r="G33" s="9" t="s">
        <v>10</v>
      </c>
      <c r="K33" s="42"/>
      <c r="L33" s="152"/>
      <c r="M33" s="152"/>
      <c r="N33"/>
      <c r="O33"/>
    </row>
    <row r="34" spans="1:15" s="18" customFormat="1">
      <c r="A34" s="12" t="s">
        <v>11</v>
      </c>
      <c r="B34" s="13"/>
      <c r="C34" s="14"/>
      <c r="D34" s="15"/>
      <c r="E34" s="13"/>
      <c r="F34" s="16" t="str">
        <f>IF(E34="","",D34/E34-1)</f>
        <v/>
      </c>
      <c r="G34" s="17" t="str">
        <f>IF(F34="Previous budget value cannot be 0","",IF(E34="","",IF(ABS(F34)&gt;0.1,"YES",IF(ABS(F34)&gt;0.01*$D$27,"YES",""))))</f>
        <v/>
      </c>
      <c r="H34" s="4"/>
      <c r="K34" s="42"/>
      <c r="L34" s="152"/>
      <c r="M34" s="152"/>
      <c r="N34"/>
      <c r="O34"/>
    </row>
    <row r="35" spans="1:15">
      <c r="A35" s="19" t="s">
        <v>38</v>
      </c>
      <c r="B35" s="153">
        <v>1606.2190763999997</v>
      </c>
      <c r="C35" s="21"/>
      <c r="D35" s="155">
        <f t="shared" ref="D35:D56" si="3">SUM(B35:C35)</f>
        <v>1606.2190763999997</v>
      </c>
      <c r="E35" s="156">
        <v>1559.4359999999999</v>
      </c>
      <c r="F35" s="24">
        <f>IF(E35="","",D35/E35-1)</f>
        <v>2.9999997691472879E-2</v>
      </c>
      <c r="G35" s="25" t="str">
        <f t="shared" ref="G35:G56" si="4">IF(F35="Previous budget value cannot be 0","",IF(E35=0,"",IF(ABS(F35)&gt;0.1,"YES",IF(F35="","",IF(ABS(F35)&gt;0.01*$D$56,"YES","")))))</f>
        <v/>
      </c>
      <c r="K35" s="42"/>
      <c r="M35" s="152"/>
      <c r="N35"/>
      <c r="O35"/>
    </row>
    <row r="36" spans="1:15">
      <c r="A36" s="19" t="s">
        <v>13</v>
      </c>
      <c r="B36" s="153">
        <v>0</v>
      </c>
      <c r="C36" s="21"/>
      <c r="D36" s="155">
        <f t="shared" si="3"/>
        <v>0</v>
      </c>
      <c r="E36" s="156"/>
      <c r="F36" s="24" t="str">
        <f>IF(E36="","",D36/E36-1)</f>
        <v/>
      </c>
      <c r="G36" s="25" t="str">
        <f t="shared" si="4"/>
        <v/>
      </c>
      <c r="L36" s="152"/>
      <c r="M36" s="152"/>
      <c r="N36"/>
      <c r="O36"/>
    </row>
    <row r="37" spans="1:15" ht="15.75" thickBot="1">
      <c r="A37" s="26" t="s">
        <v>14</v>
      </c>
      <c r="B37" s="157">
        <f>SUM(B35:B36)</f>
        <v>1606.2190763999997</v>
      </c>
      <c r="C37" s="27"/>
      <c r="D37" s="159">
        <f t="shared" si="3"/>
        <v>1606.2190763999997</v>
      </c>
      <c r="E37" s="157">
        <f>SUM(E35:E36)</f>
        <v>1559.4359999999999</v>
      </c>
      <c r="F37" s="29">
        <f>IF(E37="","",IF(E37=0,"Previous budget value cannot be 0",D37/E37-1))</f>
        <v>2.9999997691472879E-2</v>
      </c>
      <c r="G37" s="30" t="str">
        <f t="shared" si="4"/>
        <v/>
      </c>
      <c r="K37" s="42"/>
      <c r="L37" s="152"/>
      <c r="M37" s="152"/>
      <c r="N37"/>
      <c r="O37"/>
    </row>
    <row r="38" spans="1:15">
      <c r="A38" s="31" t="s">
        <v>15</v>
      </c>
      <c r="B38" s="32"/>
      <c r="C38" s="33"/>
      <c r="D38" s="163"/>
      <c r="E38" s="32"/>
      <c r="F38" s="35" t="str">
        <f t="shared" ref="F38:F55" si="5">IF(E38="","",D38/E38-1)</f>
        <v/>
      </c>
      <c r="G38" s="36" t="str">
        <f t="shared" si="4"/>
        <v/>
      </c>
      <c r="I38" s="149"/>
      <c r="K38" s="42"/>
      <c r="L38" s="152"/>
      <c r="M38" s="152"/>
      <c r="N38"/>
      <c r="O38"/>
    </row>
    <row r="39" spans="1:15">
      <c r="A39" s="37" t="s">
        <v>16</v>
      </c>
      <c r="B39" s="156">
        <f>SUM(B40:B41)</f>
        <v>824.65063789999635</v>
      </c>
      <c r="C39" s="38">
        <v>0</v>
      </c>
      <c r="D39" s="155">
        <f t="shared" si="3"/>
        <v>824.65063789999635</v>
      </c>
      <c r="E39" s="156">
        <f>SUM(E40:E41)</f>
        <v>1012.0081200000004</v>
      </c>
      <c r="F39" s="24">
        <f t="shared" si="5"/>
        <v>-0.18513436641200465</v>
      </c>
      <c r="G39" s="25" t="str">
        <f t="shared" si="4"/>
        <v>YES</v>
      </c>
      <c r="K39" s="42"/>
      <c r="L39" s="152"/>
      <c r="M39" s="152"/>
      <c r="N39"/>
      <c r="O39"/>
    </row>
    <row r="40" spans="1:15">
      <c r="A40" s="39" t="s">
        <v>17</v>
      </c>
      <c r="B40" s="165">
        <v>824.65063789999635</v>
      </c>
      <c r="C40" s="38">
        <v>0</v>
      </c>
      <c r="D40" s="155">
        <f t="shared" si="3"/>
        <v>824.65063789999635</v>
      </c>
      <c r="E40" s="156">
        <v>1012.0081200000004</v>
      </c>
      <c r="F40" s="24">
        <f t="shared" si="5"/>
        <v>-0.18513436641200465</v>
      </c>
      <c r="G40" s="25" t="str">
        <f t="shared" si="4"/>
        <v>YES</v>
      </c>
      <c r="K40" s="42"/>
      <c r="L40" s="152"/>
      <c r="M40" s="152"/>
      <c r="N40" s="167"/>
      <c r="O40"/>
    </row>
    <row r="41" spans="1:15">
      <c r="A41" s="39" t="s">
        <v>18</v>
      </c>
      <c r="B41" s="150">
        <v>0</v>
      </c>
      <c r="C41" s="38">
        <v>0</v>
      </c>
      <c r="D41" s="155">
        <f t="shared" si="3"/>
        <v>0</v>
      </c>
      <c r="E41" s="156"/>
      <c r="F41" s="24" t="str">
        <f t="shared" si="5"/>
        <v/>
      </c>
      <c r="G41" s="25" t="str">
        <f t="shared" si="4"/>
        <v/>
      </c>
      <c r="K41" s="42"/>
      <c r="L41" s="152"/>
      <c r="M41" s="152"/>
      <c r="N41" s="167"/>
      <c r="O41"/>
    </row>
    <row r="42" spans="1:15">
      <c r="A42" s="41" t="s">
        <v>19</v>
      </c>
      <c r="B42" s="170">
        <v>183.40228309999986</v>
      </c>
      <c r="C42" s="38">
        <v>0</v>
      </c>
      <c r="D42" s="155">
        <f t="shared" si="3"/>
        <v>183.40228309999986</v>
      </c>
      <c r="E42" s="156">
        <v>292.74232000000018</v>
      </c>
      <c r="F42" s="24">
        <f t="shared" si="5"/>
        <v>-0.37350266575738089</v>
      </c>
      <c r="G42" s="25" t="str">
        <f t="shared" si="4"/>
        <v>YES</v>
      </c>
      <c r="K42" s="42"/>
      <c r="L42" s="152"/>
      <c r="M42" s="152"/>
      <c r="N42"/>
      <c r="O42"/>
    </row>
    <row r="43" spans="1:15">
      <c r="A43" s="41" t="s">
        <v>20</v>
      </c>
      <c r="B43" s="170">
        <v>6.9200003999999975</v>
      </c>
      <c r="C43" s="38">
        <v>0</v>
      </c>
      <c r="D43" s="155">
        <f t="shared" si="3"/>
        <v>6.9200003999999975</v>
      </c>
      <c r="E43" s="156">
        <v>9.1231200000000054</v>
      </c>
      <c r="F43" s="24">
        <f t="shared" si="5"/>
        <v>-0.24148751742824892</v>
      </c>
      <c r="G43" s="25" t="str">
        <f t="shared" si="4"/>
        <v>YES</v>
      </c>
      <c r="K43" s="42"/>
      <c r="L43" s="152"/>
      <c r="M43" s="152"/>
      <c r="N43" s="167"/>
      <c r="O43"/>
    </row>
    <row r="44" spans="1:15">
      <c r="A44" s="41" t="s">
        <v>21</v>
      </c>
      <c r="B44" s="170">
        <v>52.427999999999997</v>
      </c>
      <c r="C44" s="21"/>
      <c r="D44" s="155">
        <f t="shared" si="3"/>
        <v>52.427999999999997</v>
      </c>
      <c r="E44" s="156">
        <v>48.170159999999974</v>
      </c>
      <c r="F44" s="24">
        <f t="shared" si="5"/>
        <v>8.8391651595095988E-2</v>
      </c>
      <c r="G44" s="25" t="str">
        <f t="shared" si="4"/>
        <v/>
      </c>
      <c r="K44" s="42"/>
      <c r="L44" s="152"/>
      <c r="M44" s="152"/>
      <c r="N44"/>
      <c r="O44"/>
    </row>
    <row r="45" spans="1:15">
      <c r="A45" s="41" t="s">
        <v>22</v>
      </c>
      <c r="B45" s="170">
        <v>195.58600919999998</v>
      </c>
      <c r="C45" s="21"/>
      <c r="D45" s="155">
        <f t="shared" si="3"/>
        <v>195.58600919999998</v>
      </c>
      <c r="E45" s="156">
        <v>440.68658000000016</v>
      </c>
      <c r="F45" s="24">
        <f t="shared" si="5"/>
        <v>-0.55617888522949821</v>
      </c>
      <c r="G45" s="25" t="str">
        <f t="shared" si="4"/>
        <v>YES</v>
      </c>
      <c r="K45" s="42"/>
      <c r="L45" s="152"/>
      <c r="M45" s="152"/>
      <c r="N45"/>
      <c r="O45"/>
    </row>
    <row r="46" spans="1:15">
      <c r="A46" s="41" t="s">
        <v>23</v>
      </c>
      <c r="B46" s="170">
        <v>-24.7475022</v>
      </c>
      <c r="C46" s="21"/>
      <c r="D46" s="155">
        <f t="shared" si="3"/>
        <v>-24.7475022</v>
      </c>
      <c r="E46" s="156">
        <v>7.7400000000000024E-2</v>
      </c>
      <c r="F46" s="24">
        <f t="shared" si="5"/>
        <v>-320.73517054263556</v>
      </c>
      <c r="G46" s="25" t="str">
        <f t="shared" si="4"/>
        <v>YES</v>
      </c>
      <c r="K46" s="42"/>
      <c r="L46" s="152"/>
      <c r="M46" s="152"/>
      <c r="N46"/>
      <c r="O46"/>
    </row>
    <row r="47" spans="1:15">
      <c r="A47" s="37" t="s">
        <v>24</v>
      </c>
      <c r="B47" s="156">
        <f>SUM(B48:B51)</f>
        <v>45.876000000000005</v>
      </c>
      <c r="C47" s="38">
        <v>0</v>
      </c>
      <c r="D47" s="155">
        <f t="shared" si="3"/>
        <v>45.876000000000005</v>
      </c>
      <c r="E47" s="156">
        <f>SUM(E48:E51)</f>
        <v>47.478479999999998</v>
      </c>
      <c r="F47" s="24">
        <f t="shared" si="5"/>
        <v>-3.3751712354734065E-2</v>
      </c>
      <c r="G47" s="25" t="str">
        <f t="shared" si="4"/>
        <v/>
      </c>
      <c r="K47" s="42"/>
      <c r="L47" s="152"/>
      <c r="M47" s="152"/>
      <c r="N47"/>
      <c r="O47"/>
    </row>
    <row r="48" spans="1:15">
      <c r="A48" s="19" t="s">
        <v>25</v>
      </c>
      <c r="B48" s="170">
        <v>0</v>
      </c>
      <c r="C48" s="38">
        <v>0</v>
      </c>
      <c r="D48" s="155">
        <f t="shared" si="3"/>
        <v>0</v>
      </c>
      <c r="E48" s="156">
        <v>2.8376399999999995</v>
      </c>
      <c r="F48" s="24">
        <f t="shared" si="5"/>
        <v>-1</v>
      </c>
      <c r="G48" s="25" t="str">
        <f t="shared" si="4"/>
        <v>YES</v>
      </c>
      <c r="K48" s="42"/>
      <c r="L48" s="152"/>
      <c r="M48" s="152"/>
      <c r="N48"/>
      <c r="O48"/>
    </row>
    <row r="49" spans="1:15">
      <c r="A49" s="19" t="s">
        <v>26</v>
      </c>
      <c r="B49" s="170">
        <v>41.148000000000003</v>
      </c>
      <c r="C49" s="38">
        <v>0</v>
      </c>
      <c r="D49" s="155">
        <f t="shared" si="3"/>
        <v>41.148000000000003</v>
      </c>
      <c r="E49" s="156">
        <v>24.388439999999999</v>
      </c>
      <c r="F49" s="24">
        <f t="shared" si="5"/>
        <v>0.68719278477836232</v>
      </c>
      <c r="G49" s="25" t="str">
        <f t="shared" si="4"/>
        <v>YES</v>
      </c>
      <c r="K49" s="42"/>
      <c r="L49" s="152"/>
      <c r="M49" s="152"/>
      <c r="N49"/>
      <c r="O49"/>
    </row>
    <row r="50" spans="1:15">
      <c r="A50" s="19" t="s">
        <v>27</v>
      </c>
      <c r="B50" s="170">
        <v>0</v>
      </c>
      <c r="C50" s="38">
        <v>0</v>
      </c>
      <c r="D50" s="155">
        <f t="shared" si="3"/>
        <v>0</v>
      </c>
      <c r="E50" s="156">
        <v>15.310199999999996</v>
      </c>
      <c r="F50" s="24">
        <f t="shared" si="5"/>
        <v>-1</v>
      </c>
      <c r="G50" s="25" t="str">
        <f t="shared" si="4"/>
        <v>YES</v>
      </c>
      <c r="K50" s="42"/>
      <c r="L50" s="152"/>
      <c r="M50" s="152"/>
      <c r="N50"/>
      <c r="O50"/>
    </row>
    <row r="51" spans="1:15">
      <c r="A51" s="19" t="s">
        <v>28</v>
      </c>
      <c r="B51" s="170">
        <v>4.7279999999999998</v>
      </c>
      <c r="C51" s="38">
        <v>0</v>
      </c>
      <c r="D51" s="155">
        <f t="shared" si="3"/>
        <v>4.7279999999999998</v>
      </c>
      <c r="E51" s="156">
        <v>4.9422000000000006</v>
      </c>
      <c r="F51" s="24">
        <f t="shared" si="5"/>
        <v>-4.3341022216826675E-2</v>
      </c>
      <c r="G51" s="25" t="str">
        <f t="shared" si="4"/>
        <v/>
      </c>
      <c r="J51" s="173"/>
      <c r="K51" s="42"/>
      <c r="L51" s="152"/>
      <c r="M51" s="152"/>
      <c r="N51"/>
      <c r="O51"/>
    </row>
    <row r="52" spans="1:15">
      <c r="A52" s="37" t="s">
        <v>29</v>
      </c>
      <c r="B52" s="156">
        <f>SUM(B53:B54)</f>
        <v>0</v>
      </c>
      <c r="C52" s="21"/>
      <c r="D52" s="155">
        <f t="shared" si="3"/>
        <v>0</v>
      </c>
      <c r="E52" s="23"/>
      <c r="F52" s="24" t="str">
        <f t="shared" si="5"/>
        <v/>
      </c>
      <c r="G52" s="25" t="str">
        <f t="shared" si="4"/>
        <v/>
      </c>
      <c r="J52" s="173"/>
      <c r="K52" s="42"/>
      <c r="L52" s="152"/>
      <c r="M52" s="152"/>
      <c r="N52"/>
      <c r="O52"/>
    </row>
    <row r="53" spans="1:15">
      <c r="A53" s="19" t="s">
        <v>30</v>
      </c>
      <c r="B53" s="170"/>
      <c r="C53" s="21"/>
      <c r="D53" s="155">
        <f t="shared" si="3"/>
        <v>0</v>
      </c>
      <c r="E53" s="23"/>
      <c r="F53" s="24" t="str">
        <f t="shared" si="5"/>
        <v/>
      </c>
      <c r="G53" s="25" t="str">
        <f t="shared" si="4"/>
        <v/>
      </c>
      <c r="J53" s="173"/>
      <c r="K53" s="42"/>
      <c r="L53" s="152"/>
      <c r="M53" s="152"/>
      <c r="N53" s="152"/>
      <c r="O53"/>
    </row>
    <row r="54" spans="1:15">
      <c r="A54" s="19" t="s">
        <v>31</v>
      </c>
      <c r="B54" s="170"/>
      <c r="C54" s="21"/>
      <c r="D54" s="155">
        <f t="shared" si="3"/>
        <v>0</v>
      </c>
      <c r="E54" s="23"/>
      <c r="F54" s="24" t="str">
        <f t="shared" si="5"/>
        <v/>
      </c>
      <c r="G54" s="25" t="str">
        <f t="shared" si="4"/>
        <v/>
      </c>
      <c r="J54" s="173"/>
      <c r="K54" s="149"/>
    </row>
    <row r="55" spans="1:15">
      <c r="A55" s="41" t="s">
        <v>32</v>
      </c>
      <c r="B55" s="170">
        <v>160.9231189999999</v>
      </c>
      <c r="C55" s="38">
        <v>0</v>
      </c>
      <c r="D55" s="155">
        <f t="shared" si="3"/>
        <v>160.9231189999999</v>
      </c>
      <c r="E55" s="156">
        <v>152.96654000000009</v>
      </c>
      <c r="F55" s="24">
        <f t="shared" si="5"/>
        <v>5.2015159655175669E-2</v>
      </c>
      <c r="G55" s="25" t="str">
        <f t="shared" si="4"/>
        <v/>
      </c>
      <c r="J55" s="173"/>
    </row>
    <row r="56" spans="1:15">
      <c r="A56" s="43" t="s">
        <v>33</v>
      </c>
      <c r="B56" s="156">
        <f>SUM(B55,B52,B47,B46,B45,B44,B43,B42,B39)</f>
        <v>1445.0385473999961</v>
      </c>
      <c r="C56" s="38">
        <f>SUM(C55,C47,C43,C39)</f>
        <v>0</v>
      </c>
      <c r="D56" s="155">
        <f t="shared" si="3"/>
        <v>1445.0385473999961</v>
      </c>
      <c r="E56" s="156">
        <f>SUM(E55,E52,E47,E46,E45,E44,E43,E42,E39)</f>
        <v>2003.2527200000009</v>
      </c>
      <c r="F56" s="24">
        <f>IF(E56="","",IF(E56=0,"Previous budget value cannot be 0",D56/E56-1))</f>
        <v>-0.27865389475173385</v>
      </c>
      <c r="G56" s="25" t="str">
        <f t="shared" si="4"/>
        <v>YES</v>
      </c>
      <c r="I56"/>
      <c r="J56" s="173"/>
    </row>
    <row r="57" spans="1:15" ht="15.75" thickBot="1">
      <c r="A57" s="44" t="s">
        <v>34</v>
      </c>
      <c r="B57" s="157">
        <f>B37-B56</f>
        <v>161.18052900000362</v>
      </c>
      <c r="C57" s="27"/>
      <c r="D57" s="159">
        <f>D37-D56</f>
        <v>161.18052900000362</v>
      </c>
      <c r="E57" s="157">
        <f>E37-E56</f>
        <v>-443.81672000000094</v>
      </c>
      <c r="F57" s="29"/>
      <c r="G57" s="30"/>
      <c r="I57"/>
      <c r="J57" s="236"/>
    </row>
    <row r="59" spans="1:15" ht="21.75" thickBot="1">
      <c r="A59" s="1" t="s">
        <v>39</v>
      </c>
    </row>
    <row r="60" spans="1:15" ht="15.75" thickBot="1">
      <c r="B60" s="274" t="str">
        <f>B32</f>
        <v>Reporting year: 2023/24</v>
      </c>
      <c r="C60" s="275"/>
      <c r="D60" s="276"/>
      <c r="E60" s="277" t="str">
        <f>E32</f>
        <v>Comparison budget: 2022/23</v>
      </c>
      <c r="F60" s="278"/>
      <c r="G60" s="279"/>
    </row>
    <row r="61" spans="1:15" ht="45.75" thickBot="1">
      <c r="A61" s="6" t="s">
        <v>40</v>
      </c>
      <c r="B61" s="7" t="s">
        <v>6</v>
      </c>
      <c r="C61" s="8" t="s">
        <v>7</v>
      </c>
      <c r="D61" s="9" t="s">
        <v>8</v>
      </c>
      <c r="E61" s="7" t="s">
        <v>8</v>
      </c>
      <c r="F61" s="8" t="s">
        <v>9</v>
      </c>
      <c r="G61" s="9" t="s">
        <v>10</v>
      </c>
    </row>
    <row r="62" spans="1:15">
      <c r="A62" s="12" t="s">
        <v>11</v>
      </c>
      <c r="B62" s="13"/>
      <c r="C62" s="14"/>
      <c r="D62" s="15"/>
      <c r="E62" s="13"/>
      <c r="F62" s="16"/>
      <c r="G62" s="17"/>
    </row>
    <row r="63" spans="1:15">
      <c r="A63" s="46" t="s">
        <v>41</v>
      </c>
      <c r="B63" s="156">
        <f>B35+B6</f>
        <v>57689.411556400002</v>
      </c>
      <c r="C63" s="21"/>
      <c r="D63" s="155">
        <f t="shared" ref="D63:E65" si="6">D35+D6</f>
        <v>57689.411556400002</v>
      </c>
      <c r="E63" s="156">
        <f t="shared" si="6"/>
        <v>43458.781020000002</v>
      </c>
      <c r="F63" s="24">
        <f>IF(E63=0,"",IF(E63="","",D63/E63-1))</f>
        <v>0.32745121244544295</v>
      </c>
      <c r="G63" s="25" t="str">
        <f t="shared" ref="G63:G84" si="7">IF(F63="Previous budget value cannot be 0","",IF(E63=0,"",IF(ABS(F63)&gt;0.1,"YES",IF(F63="","",IF(ABS(F63)&gt;0.01*$D$57,"YES","")))))</f>
        <v>YES</v>
      </c>
    </row>
    <row r="64" spans="1:15">
      <c r="A64" s="46" t="s">
        <v>13</v>
      </c>
      <c r="B64" s="156">
        <f>B36+B7</f>
        <v>0</v>
      </c>
      <c r="C64" s="21"/>
      <c r="D64" s="155">
        <f t="shared" si="6"/>
        <v>0</v>
      </c>
      <c r="E64" s="156">
        <f t="shared" si="6"/>
        <v>0</v>
      </c>
      <c r="F64" s="24" t="str">
        <f>IF(E64=0,"",IF(E64="","",D64/E64-1))</f>
        <v/>
      </c>
      <c r="G64" s="25" t="str">
        <f t="shared" si="7"/>
        <v/>
      </c>
    </row>
    <row r="65" spans="1:7" ht="15.75" thickBot="1">
      <c r="A65" s="26" t="s">
        <v>14</v>
      </c>
      <c r="B65" s="157">
        <f>B37+B8</f>
        <v>57689.411556400002</v>
      </c>
      <c r="C65" s="27"/>
      <c r="D65" s="159">
        <f t="shared" si="6"/>
        <v>57689.411556400002</v>
      </c>
      <c r="E65" s="157">
        <f t="shared" si="6"/>
        <v>43458.781020000002</v>
      </c>
      <c r="F65" s="29">
        <f>IF(E65="","",IF(E65=0,"Previous budget value cannot be 0",D65/E65-1))</f>
        <v>0.32745121244544295</v>
      </c>
      <c r="G65" s="30" t="str">
        <f t="shared" si="7"/>
        <v>YES</v>
      </c>
    </row>
    <row r="66" spans="1:7">
      <c r="A66" s="31" t="s">
        <v>15</v>
      </c>
      <c r="B66" s="169"/>
      <c r="C66" s="33"/>
      <c r="D66" s="163"/>
      <c r="E66" s="169">
        <f t="shared" ref="E66:E85" si="8">E38+E9</f>
        <v>0</v>
      </c>
      <c r="F66" s="35" t="str">
        <f t="shared" ref="F66:F83" si="9">IF(E66=0,"",IF(E66="","",D66/E66-1))</f>
        <v/>
      </c>
      <c r="G66" s="36" t="str">
        <f t="shared" si="7"/>
        <v/>
      </c>
    </row>
    <row r="67" spans="1:7">
      <c r="A67" s="37" t="s">
        <v>16</v>
      </c>
      <c r="B67" s="156">
        <f t="shared" ref="B67:B85" si="10">B39+B10</f>
        <v>28168.402682899476</v>
      </c>
      <c r="C67" s="164">
        <f t="shared" ref="C67:C79" si="11">C39+C10</f>
        <v>0</v>
      </c>
      <c r="D67" s="155">
        <f t="shared" ref="D67:D85" si="12">D39+D10</f>
        <v>28168.402682899476</v>
      </c>
      <c r="E67" s="156">
        <f t="shared" si="8"/>
        <v>23908.091080000115</v>
      </c>
      <c r="F67" s="24">
        <f t="shared" si="9"/>
        <v>0.17819538952916436</v>
      </c>
      <c r="G67" s="25" t="str">
        <f t="shared" si="7"/>
        <v>YES</v>
      </c>
    </row>
    <row r="68" spans="1:7">
      <c r="A68" s="46" t="s">
        <v>17</v>
      </c>
      <c r="B68" s="156">
        <f t="shared" si="10"/>
        <v>28138.904612899474</v>
      </c>
      <c r="C68" s="164">
        <f t="shared" si="11"/>
        <v>0</v>
      </c>
      <c r="D68" s="155">
        <f t="shared" si="12"/>
        <v>28138.904612899474</v>
      </c>
      <c r="E68" s="156">
        <f t="shared" si="8"/>
        <v>23908.091080000115</v>
      </c>
      <c r="F68" s="24">
        <f t="shared" si="9"/>
        <v>0.17696157835196513</v>
      </c>
      <c r="G68" s="25" t="str">
        <f t="shared" si="7"/>
        <v>YES</v>
      </c>
    </row>
    <row r="69" spans="1:7">
      <c r="A69" s="46" t="s">
        <v>18</v>
      </c>
      <c r="B69" s="156">
        <f t="shared" si="10"/>
        <v>29.498069999999998</v>
      </c>
      <c r="C69" s="164">
        <f t="shared" si="11"/>
        <v>0</v>
      </c>
      <c r="D69" s="155">
        <f t="shared" si="12"/>
        <v>29.498069999999998</v>
      </c>
      <c r="E69" s="156">
        <f t="shared" si="8"/>
        <v>0</v>
      </c>
      <c r="F69" s="24" t="str">
        <f t="shared" si="9"/>
        <v/>
      </c>
      <c r="G69" s="25" t="str">
        <f t="shared" si="7"/>
        <v/>
      </c>
    </row>
    <row r="70" spans="1:7">
      <c r="A70" s="37" t="s">
        <v>19</v>
      </c>
      <c r="B70" s="156">
        <f t="shared" si="10"/>
        <v>2767.3323195000048</v>
      </c>
      <c r="C70" s="164">
        <f t="shared" si="11"/>
        <v>1100</v>
      </c>
      <c r="D70" s="155">
        <f t="shared" si="12"/>
        <v>3867.3323195000048</v>
      </c>
      <c r="E70" s="156">
        <f t="shared" si="8"/>
        <v>1599.0982400000007</v>
      </c>
      <c r="F70" s="24">
        <f t="shared" si="9"/>
        <v>1.4184457357041449</v>
      </c>
      <c r="G70" s="25" t="str">
        <f t="shared" si="7"/>
        <v>YES</v>
      </c>
    </row>
    <row r="71" spans="1:7">
      <c r="A71" s="37" t="s">
        <v>20</v>
      </c>
      <c r="B71" s="156">
        <f t="shared" si="10"/>
        <v>322.11750000000342</v>
      </c>
      <c r="C71" s="164">
        <f t="shared" si="11"/>
        <v>291</v>
      </c>
      <c r="D71" s="155">
        <f t="shared" si="12"/>
        <v>613.11750000000347</v>
      </c>
      <c r="E71" s="156">
        <f t="shared" si="8"/>
        <v>714.60996000000068</v>
      </c>
      <c r="F71" s="24">
        <f t="shared" si="9"/>
        <v>-0.14202497261582681</v>
      </c>
      <c r="G71" s="25" t="str">
        <f t="shared" si="7"/>
        <v>YES</v>
      </c>
    </row>
    <row r="72" spans="1:7">
      <c r="A72" s="37" t="s">
        <v>21</v>
      </c>
      <c r="B72" s="156">
        <f t="shared" si="10"/>
        <v>919.98</v>
      </c>
      <c r="C72" s="171">
        <f t="shared" si="11"/>
        <v>0</v>
      </c>
      <c r="D72" s="155">
        <f t="shared" si="12"/>
        <v>919.98</v>
      </c>
      <c r="E72" s="156">
        <f t="shared" si="8"/>
        <v>832.47663999999941</v>
      </c>
      <c r="F72" s="24">
        <f t="shared" si="9"/>
        <v>0.10511209059271698</v>
      </c>
      <c r="G72" s="25" t="str">
        <f t="shared" si="7"/>
        <v>YES</v>
      </c>
    </row>
    <row r="73" spans="1:7">
      <c r="A73" s="37" t="s">
        <v>22</v>
      </c>
      <c r="B73" s="156">
        <f t="shared" si="10"/>
        <v>14869.781988200013</v>
      </c>
      <c r="C73" s="171">
        <f t="shared" si="11"/>
        <v>0</v>
      </c>
      <c r="D73" s="155">
        <f t="shared" si="12"/>
        <v>14869.781988200013</v>
      </c>
      <c r="E73" s="156">
        <f t="shared" si="8"/>
        <v>11676.165999999981</v>
      </c>
      <c r="F73" s="24">
        <f t="shared" si="9"/>
        <v>0.27351580888795501</v>
      </c>
      <c r="G73" s="25" t="str">
        <f t="shared" si="7"/>
        <v>YES</v>
      </c>
    </row>
    <row r="74" spans="1:7">
      <c r="A74" s="37" t="s">
        <v>23</v>
      </c>
      <c r="B74" s="156">
        <f t="shared" si="10"/>
        <v>2467.7190899999996</v>
      </c>
      <c r="C74" s="171">
        <f t="shared" si="11"/>
        <v>0</v>
      </c>
      <c r="D74" s="155">
        <f t="shared" si="12"/>
        <v>2467.7190899999996</v>
      </c>
      <c r="E74" s="156">
        <f t="shared" si="8"/>
        <v>1656.2171999999991</v>
      </c>
      <c r="F74" s="24">
        <f t="shared" si="9"/>
        <v>0.4899731085995247</v>
      </c>
      <c r="G74" s="25" t="str">
        <f t="shared" si="7"/>
        <v>YES</v>
      </c>
    </row>
    <row r="75" spans="1:7">
      <c r="A75" s="37" t="s">
        <v>24</v>
      </c>
      <c r="B75" s="156">
        <f t="shared" si="10"/>
        <v>3995.4997827999964</v>
      </c>
      <c r="C75" s="164">
        <f t="shared" si="11"/>
        <v>0</v>
      </c>
      <c r="D75" s="155">
        <f t="shared" si="12"/>
        <v>3995.4997827999964</v>
      </c>
      <c r="E75" s="156">
        <f t="shared" si="8"/>
        <v>2133.9911199999979</v>
      </c>
      <c r="F75" s="24">
        <f t="shared" si="9"/>
        <v>0.87231321881039525</v>
      </c>
      <c r="G75" s="25" t="str">
        <f t="shared" si="7"/>
        <v>YES</v>
      </c>
    </row>
    <row r="76" spans="1:7">
      <c r="A76" s="46" t="s">
        <v>25</v>
      </c>
      <c r="B76" s="156">
        <f t="shared" si="10"/>
        <v>1208.5650000000001</v>
      </c>
      <c r="C76" s="164">
        <f t="shared" si="11"/>
        <v>0</v>
      </c>
      <c r="D76" s="155">
        <f t="shared" si="12"/>
        <v>1208.5650000000001</v>
      </c>
      <c r="E76" s="156">
        <f t="shared" si="8"/>
        <v>53.811239999999991</v>
      </c>
      <c r="F76" s="24">
        <f t="shared" si="9"/>
        <v>21.459341208268018</v>
      </c>
      <c r="G76" s="25" t="str">
        <f t="shared" si="7"/>
        <v>YES</v>
      </c>
    </row>
    <row r="77" spans="1:7">
      <c r="A77" s="46" t="s">
        <v>26</v>
      </c>
      <c r="B77" s="156">
        <f t="shared" si="10"/>
        <v>2442.825782799996</v>
      </c>
      <c r="C77" s="164">
        <f t="shared" si="11"/>
        <v>0</v>
      </c>
      <c r="D77" s="155">
        <f t="shared" si="12"/>
        <v>2442.825782799996</v>
      </c>
      <c r="E77" s="156">
        <f t="shared" si="8"/>
        <v>1629.2486399999975</v>
      </c>
      <c r="F77" s="24">
        <f t="shared" si="9"/>
        <v>0.49935726372617983</v>
      </c>
      <c r="G77" s="25" t="str">
        <f t="shared" si="7"/>
        <v>YES</v>
      </c>
    </row>
    <row r="78" spans="1:7">
      <c r="A78" s="46" t="s">
        <v>27</v>
      </c>
      <c r="B78" s="156">
        <f t="shared" si="10"/>
        <v>284.86500000000001</v>
      </c>
      <c r="C78" s="164">
        <f t="shared" si="11"/>
        <v>0</v>
      </c>
      <c r="D78" s="155">
        <f t="shared" si="12"/>
        <v>284.86500000000001</v>
      </c>
      <c r="E78" s="156">
        <f t="shared" si="8"/>
        <v>391.67247999999984</v>
      </c>
      <c r="F78" s="24">
        <f t="shared" si="9"/>
        <v>-0.2726959014327478</v>
      </c>
      <c r="G78" s="25" t="str">
        <f t="shared" si="7"/>
        <v>YES</v>
      </c>
    </row>
    <row r="79" spans="1:7">
      <c r="A79" s="46" t="s">
        <v>28</v>
      </c>
      <c r="B79" s="156">
        <f t="shared" si="10"/>
        <v>59.244</v>
      </c>
      <c r="C79" s="164">
        <f t="shared" si="11"/>
        <v>0</v>
      </c>
      <c r="D79" s="155">
        <f t="shared" si="12"/>
        <v>59.244</v>
      </c>
      <c r="E79" s="156">
        <f t="shared" si="8"/>
        <v>59.258760000000002</v>
      </c>
      <c r="F79" s="24">
        <f t="shared" si="9"/>
        <v>-2.4907709847454829E-4</v>
      </c>
      <c r="G79" s="25" t="str">
        <f t="shared" si="7"/>
        <v/>
      </c>
    </row>
    <row r="80" spans="1:7">
      <c r="A80" s="37" t="s">
        <v>29</v>
      </c>
      <c r="B80" s="156">
        <f t="shared" si="10"/>
        <v>0</v>
      </c>
      <c r="C80" s="171"/>
      <c r="D80" s="155">
        <f t="shared" si="12"/>
        <v>0</v>
      </c>
      <c r="E80" s="156">
        <f t="shared" si="8"/>
        <v>0</v>
      </c>
      <c r="F80" s="24" t="str">
        <f t="shared" si="9"/>
        <v/>
      </c>
      <c r="G80" s="25" t="str">
        <f t="shared" si="7"/>
        <v/>
      </c>
    </row>
    <row r="81" spans="1:7">
      <c r="A81" s="46" t="s">
        <v>30</v>
      </c>
      <c r="B81" s="156">
        <f t="shared" si="10"/>
        <v>0</v>
      </c>
      <c r="C81" s="171"/>
      <c r="D81" s="155">
        <f t="shared" si="12"/>
        <v>0</v>
      </c>
      <c r="E81" s="156">
        <f t="shared" si="8"/>
        <v>0</v>
      </c>
      <c r="F81" s="24" t="str">
        <f t="shared" si="9"/>
        <v/>
      </c>
      <c r="G81" s="25" t="str">
        <f t="shared" si="7"/>
        <v/>
      </c>
    </row>
    <row r="82" spans="1:7">
      <c r="A82" s="46" t="s">
        <v>31</v>
      </c>
      <c r="B82" s="156">
        <f t="shared" si="10"/>
        <v>0</v>
      </c>
      <c r="C82" s="171"/>
      <c r="D82" s="155">
        <f t="shared" si="12"/>
        <v>0</v>
      </c>
      <c r="E82" s="156">
        <f t="shared" si="8"/>
        <v>0</v>
      </c>
      <c r="F82" s="24" t="str">
        <f t="shared" si="9"/>
        <v/>
      </c>
      <c r="G82" s="25" t="str">
        <f t="shared" si="7"/>
        <v/>
      </c>
    </row>
    <row r="83" spans="1:7">
      <c r="A83" s="37" t="s">
        <v>32</v>
      </c>
      <c r="B83" s="156">
        <f t="shared" si="10"/>
        <v>1586.6526878999932</v>
      </c>
      <c r="C83" s="164">
        <f>C55+C26</f>
        <v>0</v>
      </c>
      <c r="D83" s="155">
        <f t="shared" si="12"/>
        <v>1586.6526878999932</v>
      </c>
      <c r="E83" s="156">
        <f t="shared" si="8"/>
        <v>2024.3988800000036</v>
      </c>
      <c r="F83" s="24">
        <f t="shared" si="9"/>
        <v>-0.21623514833203705</v>
      </c>
      <c r="G83" s="25" t="str">
        <f t="shared" si="7"/>
        <v>YES</v>
      </c>
    </row>
    <row r="84" spans="1:7">
      <c r="A84" s="43" t="s">
        <v>33</v>
      </c>
      <c r="B84" s="156">
        <f t="shared" si="10"/>
        <v>55097.486051299486</v>
      </c>
      <c r="C84" s="164">
        <f>C56+C27</f>
        <v>1391</v>
      </c>
      <c r="D84" s="155">
        <f t="shared" si="12"/>
        <v>56488.486051299486</v>
      </c>
      <c r="E84" s="156">
        <f t="shared" si="8"/>
        <v>44545.049120000098</v>
      </c>
      <c r="F84" s="24">
        <f>IF(E84="","",IF(E84=0,"Previous budget value cannot be 0",D84/E84-1))</f>
        <v>0.26812041219496496</v>
      </c>
      <c r="G84" s="25" t="str">
        <f t="shared" si="7"/>
        <v>YES</v>
      </c>
    </row>
    <row r="85" spans="1:7" ht="15.75" thickBot="1">
      <c r="A85" s="44" t="s">
        <v>34</v>
      </c>
      <c r="B85" s="157">
        <f t="shared" si="10"/>
        <v>2591.925505100523</v>
      </c>
      <c r="C85" s="172"/>
      <c r="D85" s="159">
        <f t="shared" si="12"/>
        <v>1200.9255051005227</v>
      </c>
      <c r="E85" s="157">
        <f t="shared" si="8"/>
        <v>-443.81672000000094</v>
      </c>
      <c r="F85" s="29"/>
      <c r="G85" s="30"/>
    </row>
    <row r="87" spans="1:7" ht="21">
      <c r="A87" s="1" t="s">
        <v>42</v>
      </c>
    </row>
    <row r="88" spans="1:7" ht="21.75" thickBot="1">
      <c r="A88" s="241" t="s">
        <v>43</v>
      </c>
    </row>
    <row r="89" spans="1:7" ht="30.75" thickBot="1">
      <c r="B89" s="47" t="s">
        <v>44</v>
      </c>
      <c r="C89" s="48" t="str">
        <f>E3</f>
        <v>Comparison budget: 2022/23</v>
      </c>
    </row>
    <row r="90" spans="1:7">
      <c r="A90" s="49" t="s">
        <v>45</v>
      </c>
      <c r="B90" s="50"/>
      <c r="C90" s="34"/>
    </row>
    <row r="91" spans="1:7">
      <c r="A91" s="19" t="s">
        <v>46</v>
      </c>
      <c r="B91" s="51"/>
      <c r="C91" s="22"/>
    </row>
    <row r="92" spans="1:7">
      <c r="A92" s="19" t="s">
        <v>47</v>
      </c>
      <c r="B92" s="51"/>
      <c r="C92" s="22"/>
    </row>
    <row r="93" spans="1:7">
      <c r="A93" s="19" t="s">
        <v>48</v>
      </c>
      <c r="B93" s="51"/>
      <c r="C93" s="22"/>
    </row>
    <row r="94" spans="1:7">
      <c r="A94" s="52" t="s">
        <v>49</v>
      </c>
      <c r="B94" s="53"/>
      <c r="C94" s="22"/>
    </row>
    <row r="95" spans="1:7">
      <c r="A95" s="19" t="s">
        <v>50</v>
      </c>
      <c r="B95" s="51"/>
      <c r="C95" s="22"/>
    </row>
    <row r="96" spans="1:7">
      <c r="A96" s="19" t="s">
        <v>51</v>
      </c>
      <c r="B96" s="51"/>
      <c r="C96" s="22"/>
    </row>
    <row r="97" spans="1:3">
      <c r="A97" s="19" t="s">
        <v>52</v>
      </c>
      <c r="B97" s="51"/>
      <c r="C97" s="22"/>
    </row>
    <row r="98" spans="1:3">
      <c r="A98" s="19" t="s">
        <v>53</v>
      </c>
      <c r="B98" s="51"/>
      <c r="C98" s="22"/>
    </row>
    <row r="99" spans="1:3">
      <c r="A99" s="52" t="s">
        <v>54</v>
      </c>
      <c r="B99" s="53">
        <f>SUM(B91:B93,B95:B98)</f>
        <v>0</v>
      </c>
      <c r="C99" s="22"/>
    </row>
    <row r="100" spans="1:3">
      <c r="A100" s="52" t="s">
        <v>55</v>
      </c>
      <c r="B100" s="53"/>
      <c r="C100" s="22"/>
    </row>
    <row r="101" spans="1:3">
      <c r="A101" s="19" t="s">
        <v>56</v>
      </c>
      <c r="B101" s="51"/>
      <c r="C101" s="22"/>
    </row>
    <row r="102" spans="1:3">
      <c r="A102" s="19" t="s">
        <v>57</v>
      </c>
      <c r="B102" s="51"/>
      <c r="C102" s="22"/>
    </row>
    <row r="103" spans="1:3">
      <c r="A103" s="52" t="s">
        <v>58</v>
      </c>
      <c r="B103" s="53">
        <f>SUM(B101:B102)</f>
        <v>0</v>
      </c>
      <c r="C103" s="22"/>
    </row>
    <row r="104" spans="1:3">
      <c r="A104" s="52" t="s">
        <v>59</v>
      </c>
      <c r="B104" s="53"/>
      <c r="C104" s="22"/>
    </row>
    <row r="105" spans="1:3">
      <c r="A105" s="19" t="s">
        <v>60</v>
      </c>
      <c r="B105" s="51"/>
      <c r="C105" s="22"/>
    </row>
    <row r="106" spans="1:3">
      <c r="A106" s="19" t="s">
        <v>61</v>
      </c>
      <c r="B106" s="51"/>
      <c r="C106" s="22"/>
    </row>
    <row r="107" spans="1:3">
      <c r="A107" s="54" t="s">
        <v>62</v>
      </c>
      <c r="B107" s="51"/>
      <c r="C107" s="22"/>
    </row>
    <row r="108" spans="1:3">
      <c r="A108" s="52" t="s">
        <v>63</v>
      </c>
      <c r="B108" s="53">
        <f>SUM(B107,B103,B99)</f>
        <v>0</v>
      </c>
      <c r="C108" s="22"/>
    </row>
    <row r="109" spans="1:3">
      <c r="A109" s="55" t="s">
        <v>64</v>
      </c>
      <c r="B109" s="56"/>
      <c r="C109" s="22"/>
    </row>
    <row r="110" spans="1:3" ht="15.75" thickBot="1">
      <c r="A110" s="57" t="s">
        <v>65</v>
      </c>
      <c r="B110" s="58">
        <f>SUM(B108:B109)</f>
        <v>0</v>
      </c>
      <c r="C110" s="28"/>
    </row>
    <row r="112" spans="1:3" ht="21">
      <c r="A112" s="1" t="s">
        <v>66</v>
      </c>
    </row>
    <row r="113" spans="1:3" ht="21.75" thickBot="1">
      <c r="A113" s="241" t="s">
        <v>67</v>
      </c>
    </row>
    <row r="114" spans="1:3" ht="30.75" thickBot="1">
      <c r="B114" s="47" t="str">
        <f>B89</f>
        <v>Budget 2023/24</v>
      </c>
      <c r="C114" s="48" t="str">
        <f>C89</f>
        <v>Comparison budget: 2022/23</v>
      </c>
    </row>
    <row r="115" spans="1:3">
      <c r="A115" s="49" t="s">
        <v>68</v>
      </c>
      <c r="B115" s="59"/>
      <c r="C115" s="34"/>
    </row>
    <row r="116" spans="1:3">
      <c r="A116" s="19" t="s">
        <v>69</v>
      </c>
      <c r="B116" s="20"/>
      <c r="C116" s="22"/>
    </row>
    <row r="117" spans="1:3">
      <c r="A117" s="19" t="s">
        <v>70</v>
      </c>
      <c r="B117" s="20"/>
      <c r="C117" s="22"/>
    </row>
    <row r="118" spans="1:3">
      <c r="A118" s="19" t="s">
        <v>71</v>
      </c>
      <c r="B118" s="20"/>
      <c r="C118" s="22"/>
    </row>
    <row r="119" spans="1:3">
      <c r="A119" s="19" t="s">
        <v>72</v>
      </c>
      <c r="B119" s="20"/>
      <c r="C119" s="22"/>
    </row>
    <row r="120" spans="1:3">
      <c r="A120" s="52" t="s">
        <v>73</v>
      </c>
      <c r="B120" s="60">
        <f>SUM(B116:B119)</f>
        <v>0</v>
      </c>
      <c r="C120" s="22"/>
    </row>
    <row r="121" spans="1:3">
      <c r="A121" s="52" t="s">
        <v>74</v>
      </c>
      <c r="B121" s="60"/>
      <c r="C121" s="22"/>
    </row>
    <row r="122" spans="1:3">
      <c r="A122" s="19" t="s">
        <v>71</v>
      </c>
      <c r="B122" s="20"/>
      <c r="C122" s="22"/>
    </row>
    <row r="123" spans="1:3">
      <c r="A123" s="19" t="s">
        <v>75</v>
      </c>
      <c r="B123" s="20"/>
      <c r="C123" s="22"/>
    </row>
    <row r="124" spans="1:3">
      <c r="A124" s="19" t="s">
        <v>76</v>
      </c>
      <c r="B124" s="20"/>
      <c r="C124" s="22"/>
    </row>
    <row r="125" spans="1:3">
      <c r="A125" s="19" t="s">
        <v>77</v>
      </c>
      <c r="B125" s="20"/>
      <c r="C125" s="22"/>
    </row>
    <row r="126" spans="1:3">
      <c r="A126" s="52" t="s">
        <v>78</v>
      </c>
      <c r="B126" s="60">
        <f>SUM(B122:B125)</f>
        <v>0</v>
      </c>
      <c r="C126" s="22"/>
    </row>
    <row r="127" spans="1:3">
      <c r="A127" s="52" t="s">
        <v>79</v>
      </c>
      <c r="B127" s="60">
        <f>B126+B120</f>
        <v>0</v>
      </c>
      <c r="C127" s="22"/>
    </row>
    <row r="128" spans="1:3">
      <c r="A128" s="52" t="s">
        <v>80</v>
      </c>
      <c r="B128" s="60"/>
      <c r="C128" s="22"/>
    </row>
    <row r="129" spans="1:3">
      <c r="A129" s="61" t="s">
        <v>81</v>
      </c>
      <c r="B129" s="60"/>
      <c r="C129" s="22"/>
    </row>
    <row r="130" spans="1:3">
      <c r="A130" s="19" t="s">
        <v>82</v>
      </c>
      <c r="B130" s="20"/>
      <c r="C130" s="22"/>
    </row>
    <row r="131" spans="1:3">
      <c r="A131" s="19" t="s">
        <v>83</v>
      </c>
      <c r="B131" s="20"/>
      <c r="C131" s="22"/>
    </row>
    <row r="132" spans="1:3">
      <c r="A132" s="19" t="s">
        <v>84</v>
      </c>
      <c r="B132" s="20"/>
      <c r="C132" s="22"/>
    </row>
    <row r="133" spans="1:3">
      <c r="A133" s="19" t="s">
        <v>85</v>
      </c>
      <c r="B133" s="20"/>
      <c r="C133" s="22"/>
    </row>
    <row r="134" spans="1:3">
      <c r="A134" s="19" t="s">
        <v>86</v>
      </c>
      <c r="B134" s="20"/>
      <c r="C134" s="22"/>
    </row>
    <row r="135" spans="1:3">
      <c r="A135" s="19" t="s">
        <v>87</v>
      </c>
      <c r="B135" s="20"/>
      <c r="C135" s="22"/>
    </row>
    <row r="136" spans="1:3">
      <c r="A136" s="52" t="s">
        <v>88</v>
      </c>
      <c r="B136" s="60">
        <f>SUM(B130:B135)</f>
        <v>0</v>
      </c>
      <c r="C136" s="22"/>
    </row>
    <row r="137" spans="1:3">
      <c r="A137" s="52" t="s">
        <v>89</v>
      </c>
      <c r="B137" s="60"/>
      <c r="C137" s="22"/>
    </row>
    <row r="138" spans="1:3">
      <c r="A138" s="19" t="s">
        <v>90</v>
      </c>
      <c r="B138" s="20"/>
      <c r="C138" s="22"/>
    </row>
    <row r="139" spans="1:3">
      <c r="A139" s="19" t="s">
        <v>91</v>
      </c>
      <c r="B139" s="20"/>
      <c r="C139" s="22"/>
    </row>
    <row r="140" spans="1:3">
      <c r="A140" s="19" t="s">
        <v>86</v>
      </c>
      <c r="B140" s="20"/>
      <c r="C140" s="22"/>
    </row>
    <row r="141" spans="1:3">
      <c r="A141" s="52" t="s">
        <v>92</v>
      </c>
      <c r="B141" s="60">
        <f>SUM(B138:B140)</f>
        <v>0</v>
      </c>
      <c r="C141" s="22"/>
    </row>
    <row r="142" spans="1:3">
      <c r="A142" s="52" t="s">
        <v>93</v>
      </c>
      <c r="B142" s="60">
        <f>SUM(B141,B136)</f>
        <v>0</v>
      </c>
      <c r="C142" s="22"/>
    </row>
    <row r="143" spans="1:3">
      <c r="A143" s="52" t="s">
        <v>94</v>
      </c>
      <c r="B143" s="60">
        <f>B127-B142</f>
        <v>0</v>
      </c>
      <c r="C143" s="22"/>
    </row>
    <row r="144" spans="1:3">
      <c r="A144" s="52" t="s">
        <v>95</v>
      </c>
      <c r="B144" s="60">
        <f>B127-B143</f>
        <v>0</v>
      </c>
      <c r="C144" s="22"/>
    </row>
    <row r="145" spans="1:5">
      <c r="A145" s="62" t="s">
        <v>96</v>
      </c>
      <c r="B145" s="20"/>
      <c r="C145" s="22"/>
      <c r="D145" s="63"/>
    </row>
    <row r="146" spans="1:5" ht="15.75" thickBot="1">
      <c r="A146" s="57" t="s">
        <v>97</v>
      </c>
      <c r="B146" s="64"/>
      <c r="C146" s="28"/>
    </row>
    <row r="148" spans="1:5" ht="15.75" thickBot="1">
      <c r="A148" s="65" t="s">
        <v>98</v>
      </c>
    </row>
    <row r="149" spans="1:5">
      <c r="A149" s="49" t="s">
        <v>99</v>
      </c>
      <c r="B149" s="66" t="s">
        <v>100</v>
      </c>
      <c r="E149" s="67"/>
    </row>
    <row r="150" spans="1:5">
      <c r="A150" s="43" t="s">
        <v>101</v>
      </c>
      <c r="B150" s="238">
        <v>3891.797</v>
      </c>
    </row>
    <row r="151" spans="1:5">
      <c r="A151" s="54" t="s">
        <v>102</v>
      </c>
      <c r="B151" s="240">
        <f>+D85</f>
        <v>1200.9255051005227</v>
      </c>
    </row>
    <row r="152" spans="1:5" ht="15.75" thickBot="1">
      <c r="A152" s="44" t="s">
        <v>103</v>
      </c>
      <c r="B152" s="239">
        <f>+B150+B151</f>
        <v>5092.7225051005225</v>
      </c>
    </row>
    <row r="154" spans="1:5" ht="21">
      <c r="A154" s="1" t="s">
        <v>104</v>
      </c>
      <c r="B154" s="67"/>
    </row>
    <row r="155" spans="1:5" ht="21.75" thickBot="1">
      <c r="A155" s="1" t="s">
        <v>105</v>
      </c>
      <c r="B155" s="67"/>
    </row>
    <row r="156" spans="1:5" ht="30.75" thickBot="1">
      <c r="A156" s="68" t="s">
        <v>106</v>
      </c>
      <c r="B156" s="69" t="s">
        <v>107</v>
      </c>
    </row>
    <row r="157" spans="1:5">
      <c r="A157" s="70" t="s">
        <v>108</v>
      </c>
      <c r="B157" s="229">
        <f>+B73</f>
        <v>14869.781988200013</v>
      </c>
      <c r="C157" s="235"/>
      <c r="D157" s="234"/>
    </row>
    <row r="158" spans="1:5">
      <c r="A158" s="54" t="s">
        <v>109</v>
      </c>
      <c r="B158" s="230">
        <v>15379.935522067819</v>
      </c>
      <c r="C158" s="235"/>
      <c r="D158" s="234"/>
    </row>
    <row r="159" spans="1:5">
      <c r="A159" s="54" t="s">
        <v>110</v>
      </c>
      <c r="B159" s="230">
        <v>16550.661958981123</v>
      </c>
      <c r="C159" s="235"/>
      <c r="D159" s="234"/>
    </row>
    <row r="160" spans="1:5">
      <c r="A160" s="54" t="s">
        <v>111</v>
      </c>
      <c r="B160" s="230">
        <v>15677.271017225547</v>
      </c>
      <c r="C160" s="235"/>
      <c r="D160" s="234"/>
    </row>
    <row r="161" spans="1:4">
      <c r="A161" s="54" t="s">
        <v>112</v>
      </c>
      <c r="B161" s="230">
        <v>14480.009878494158</v>
      </c>
      <c r="C161" s="235"/>
      <c r="D161" s="234"/>
    </row>
    <row r="162" spans="1:4">
      <c r="A162" s="54" t="s">
        <v>113</v>
      </c>
      <c r="B162" s="230">
        <v>12631.121269452637</v>
      </c>
      <c r="C162" s="235"/>
      <c r="D162" s="234"/>
    </row>
    <row r="163" spans="1:4">
      <c r="A163" s="54" t="s">
        <v>114</v>
      </c>
      <c r="B163" s="230">
        <v>11277.359501962763</v>
      </c>
      <c r="C163" s="235"/>
      <c r="D163" s="234"/>
    </row>
    <row r="164" spans="1:4">
      <c r="A164" s="54" t="s">
        <v>115</v>
      </c>
      <c r="B164" s="230">
        <v>6954.6598548610336</v>
      </c>
      <c r="C164" s="235"/>
      <c r="D164" s="234"/>
    </row>
    <row r="165" spans="1:4">
      <c r="A165" s="54" t="s">
        <v>116</v>
      </c>
      <c r="B165" s="230">
        <v>5013.1170282186213</v>
      </c>
    </row>
    <row r="166" spans="1:4" ht="15.75" thickBot="1">
      <c r="A166" s="71" t="s">
        <v>117</v>
      </c>
      <c r="B166" s="231">
        <v>3842.4113891310089</v>
      </c>
    </row>
  </sheetData>
  <mergeCells count="6">
    <mergeCell ref="B3:D3"/>
    <mergeCell ref="E3:G3"/>
    <mergeCell ref="B32:D32"/>
    <mergeCell ref="E32:G32"/>
    <mergeCell ref="B60:D60"/>
    <mergeCell ref="E60:G60"/>
  </mergeCells>
  <pageMargins left="0.7" right="0.7" top="0.75" bottom="0.75" header="0.3" footer="0.3"/>
  <pageSetup paperSize="9" orientation="portrait" r:id="rId1"/>
  <ignoredErrors>
    <ignoredError sqref="B157 B8:B9 B37:B38 B53:B54 B151" unlockedFormula="1"/>
    <ignoredError sqref="B18 B47" formula="1" unlockedFormula="1"/>
    <ignoredError sqref="B10 B23 B39 B52" formulaRange="1" unlockedFormula="1"/>
    <ignoredError sqref="E18 F9 F37" formula="1"/>
    <ignoredError sqref="E10 E23 E39" formulaRange="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BC52AD-3A5C-45C8-BA27-6716633ED4E2}">
  <sheetPr>
    <pageSetUpPr fitToPage="1"/>
  </sheetPr>
  <dimension ref="A1:M124"/>
  <sheetViews>
    <sheetView tabSelected="1" zoomScale="90" zoomScaleNormal="90" workbookViewId="0">
      <selection activeCell="W90" sqref="W90"/>
    </sheetView>
  </sheetViews>
  <sheetFormatPr defaultColWidth="9" defaultRowHeight="15"/>
  <cols>
    <col min="1" max="2" width="3.5703125" style="4" customWidth="1"/>
    <col min="3" max="3" width="45.5703125" style="4" customWidth="1"/>
    <col min="4" max="5" width="12.5703125" style="11" customWidth="1"/>
    <col min="6" max="6" width="14.42578125" style="11" customWidth="1"/>
    <col min="7" max="9" width="12.5703125" style="11" customWidth="1"/>
    <col min="10" max="10" width="3.5703125" style="4" customWidth="1"/>
    <col min="11" max="11" width="46.5703125" style="11" customWidth="1"/>
    <col min="12" max="12" width="13.5703125" style="11" customWidth="1"/>
    <col min="13" max="13" width="3.5703125" style="4" customWidth="1"/>
    <col min="14" max="143" width="9" style="4"/>
    <col min="144" max="144" width="9" style="4" customWidth="1"/>
    <col min="145" max="16384" width="9" style="4"/>
  </cols>
  <sheetData>
    <row r="1" spans="2:11" ht="21.75" thickBot="1">
      <c r="B1" s="1" t="s">
        <v>118</v>
      </c>
    </row>
    <row r="2" spans="2:11" ht="45.75" thickBot="1">
      <c r="B2" s="1"/>
      <c r="C2" s="72" t="s">
        <v>119</v>
      </c>
      <c r="D2" s="73" t="s">
        <v>120</v>
      </c>
      <c r="E2" s="74" t="s">
        <v>121</v>
      </c>
    </row>
    <row r="3" spans="2:11" ht="15" customHeight="1">
      <c r="B3" s="1"/>
      <c r="C3" s="75" t="s">
        <v>122</v>
      </c>
      <c r="D3" s="176">
        <f>SUM(I27,I47)</f>
        <v>36690.666610837805</v>
      </c>
      <c r="E3" s="177">
        <f>SUM(L27,L47)</f>
        <v>650</v>
      </c>
      <c r="F3" s="76"/>
      <c r="K3" s="4"/>
    </row>
    <row r="4" spans="2:11" ht="15" customHeight="1">
      <c r="B4" s="1"/>
      <c r="C4" s="43" t="s">
        <v>123</v>
      </c>
      <c r="D4" s="178">
        <f>SUM(D47,D27)</f>
        <v>0</v>
      </c>
      <c r="E4" s="179"/>
    </row>
    <row r="5" spans="2:11" ht="15" customHeight="1">
      <c r="B5" s="1"/>
      <c r="C5" s="78" t="s">
        <v>124</v>
      </c>
      <c r="D5" s="178">
        <f>SUM(E27,E47)</f>
        <v>0</v>
      </c>
      <c r="E5" s="179"/>
    </row>
    <row r="6" spans="2:11" ht="15" customHeight="1">
      <c r="B6" s="1"/>
      <c r="C6" s="78" t="s">
        <v>125</v>
      </c>
      <c r="D6" s="178">
        <f>SUM(F27,F47)</f>
        <v>0</v>
      </c>
      <c r="E6" s="179"/>
    </row>
    <row r="7" spans="2:11" ht="15" customHeight="1">
      <c r="B7" s="1"/>
      <c r="C7" s="78" t="s">
        <v>126</v>
      </c>
      <c r="D7" s="178">
        <f>SUM(G27,G47)</f>
        <v>36645.066610837806</v>
      </c>
      <c r="E7" s="179"/>
    </row>
    <row r="8" spans="2:11" ht="15" customHeight="1" thickBot="1">
      <c r="B8" s="1"/>
      <c r="C8" s="79" t="s">
        <v>127</v>
      </c>
      <c r="D8" s="180">
        <f>SUM(H27,H47)</f>
        <v>45.600000000000009</v>
      </c>
      <c r="E8" s="181"/>
    </row>
    <row r="9" spans="2:11" ht="45.75" thickBot="1">
      <c r="B9" s="1"/>
      <c r="C9" s="80" t="s">
        <v>128</v>
      </c>
      <c r="D9" s="182" t="s">
        <v>120</v>
      </c>
      <c r="E9" s="183" t="s">
        <v>121</v>
      </c>
    </row>
    <row r="10" spans="2:11" ht="15" customHeight="1">
      <c r="B10" s="1"/>
      <c r="C10" s="75" t="s">
        <v>122</v>
      </c>
      <c r="D10" s="176">
        <f>SUM(I90,I70)</f>
        <v>48.014993551225594</v>
      </c>
      <c r="E10" s="184">
        <f>SUM(L70,L90)</f>
        <v>0</v>
      </c>
      <c r="F10" s="76"/>
      <c r="K10" s="4"/>
    </row>
    <row r="11" spans="2:11" ht="15" customHeight="1">
      <c r="B11" s="1"/>
      <c r="C11" s="43" t="s">
        <v>123</v>
      </c>
      <c r="D11" s="185">
        <f>SUM(D70,D90)</f>
        <v>0</v>
      </c>
      <c r="E11" s="179"/>
    </row>
    <row r="12" spans="2:11" ht="15" customHeight="1">
      <c r="B12" s="1"/>
      <c r="C12" s="78" t="s">
        <v>124</v>
      </c>
      <c r="D12" s="185">
        <f>SUM(E70,E90)</f>
        <v>0</v>
      </c>
      <c r="E12" s="179"/>
    </row>
    <row r="13" spans="2:11" ht="15" customHeight="1">
      <c r="B13" s="1"/>
      <c r="C13" s="78" t="s">
        <v>125</v>
      </c>
      <c r="D13" s="185">
        <f>SUM(F70,F90)</f>
        <v>0</v>
      </c>
      <c r="E13" s="179"/>
    </row>
    <row r="14" spans="2:11" ht="15" customHeight="1">
      <c r="B14" s="1"/>
      <c r="C14" s="78" t="s">
        <v>126</v>
      </c>
      <c r="D14" s="185">
        <f>SUM(G70,G90)</f>
        <v>43.614993551225595</v>
      </c>
      <c r="E14" s="179"/>
    </row>
    <row r="15" spans="2:11" ht="15" customHeight="1" thickBot="1">
      <c r="B15" s="1"/>
      <c r="C15" s="79" t="s">
        <v>127</v>
      </c>
      <c r="D15" s="186">
        <f>SUM(H70,H90)</f>
        <v>4.4000000000000004</v>
      </c>
      <c r="E15" s="179"/>
    </row>
    <row r="16" spans="2:11" ht="45.75" thickBot="1">
      <c r="B16" s="1"/>
      <c r="C16" s="81" t="s">
        <v>129</v>
      </c>
      <c r="D16" s="187" t="s">
        <v>120</v>
      </c>
      <c r="E16" s="188" t="s">
        <v>121</v>
      </c>
    </row>
    <row r="17" spans="2:13" ht="15" customHeight="1">
      <c r="B17" s="1"/>
      <c r="C17" s="75" t="s">
        <v>130</v>
      </c>
      <c r="D17" s="189">
        <f>SUM(D40:H40,D60:H60)</f>
        <v>9359.6477714891407</v>
      </c>
      <c r="E17" s="184">
        <f>SUM(L40,L60)</f>
        <v>0</v>
      </c>
    </row>
    <row r="18" spans="2:13" ht="15" customHeight="1" thickBot="1">
      <c r="B18" s="1"/>
      <c r="C18" s="44" t="s">
        <v>131</v>
      </c>
      <c r="D18" s="190">
        <f>SUM(D83:H83,D103:H103)</f>
        <v>0</v>
      </c>
      <c r="E18" s="191">
        <f>SUM(L83,L103)</f>
        <v>0</v>
      </c>
    </row>
    <row r="19" spans="2:13" ht="15" customHeight="1" thickBot="1">
      <c r="B19" s="1"/>
    </row>
    <row r="20" spans="2:13" ht="18.75">
      <c r="B20" s="82" t="s">
        <v>132</v>
      </c>
      <c r="C20" s="83"/>
      <c r="D20" s="84"/>
      <c r="E20" s="84"/>
      <c r="F20" s="84"/>
      <c r="G20" s="84"/>
      <c r="H20" s="84"/>
      <c r="I20" s="84"/>
      <c r="J20" s="85"/>
      <c r="K20" s="84"/>
      <c r="L20" s="84"/>
      <c r="M20" s="86"/>
    </row>
    <row r="21" spans="2:13" ht="18.75">
      <c r="B21" s="87"/>
      <c r="C21" s="5" t="s">
        <v>133</v>
      </c>
      <c r="K21" s="5" t="s">
        <v>134</v>
      </c>
      <c r="M21" s="88"/>
    </row>
    <row r="22" spans="2:13" ht="19.5" thickBot="1">
      <c r="B22" s="87"/>
      <c r="C22" s="5" t="s">
        <v>135</v>
      </c>
      <c r="K22" s="5" t="s">
        <v>136</v>
      </c>
      <c r="M22" s="88"/>
    </row>
    <row r="23" spans="2:13" ht="30.75" thickBot="1">
      <c r="B23" s="87"/>
      <c r="C23" s="49" t="s">
        <v>130</v>
      </c>
      <c r="D23" s="280" t="s">
        <v>137</v>
      </c>
      <c r="E23" s="281"/>
      <c r="F23" s="281"/>
      <c r="G23" s="281"/>
      <c r="H23" s="281"/>
      <c r="I23" s="282"/>
      <c r="K23" s="89" t="s">
        <v>130</v>
      </c>
      <c r="L23" s="69" t="s">
        <v>137</v>
      </c>
      <c r="M23" s="88"/>
    </row>
    <row r="24" spans="2:13" ht="45.75" thickBot="1">
      <c r="B24" s="87"/>
      <c r="C24" s="90" t="s">
        <v>138</v>
      </c>
      <c r="D24" s="91" t="s">
        <v>123</v>
      </c>
      <c r="E24" s="92" t="s">
        <v>124</v>
      </c>
      <c r="F24" s="92" t="s">
        <v>125</v>
      </c>
      <c r="G24" s="92" t="s">
        <v>126</v>
      </c>
      <c r="H24" s="93" t="s">
        <v>127</v>
      </c>
      <c r="I24" s="94" t="s">
        <v>139</v>
      </c>
      <c r="K24" s="90" t="s">
        <v>140</v>
      </c>
      <c r="L24" s="95" t="s">
        <v>141</v>
      </c>
      <c r="M24" s="88"/>
    </row>
    <row r="25" spans="2:13">
      <c r="B25" s="87"/>
      <c r="C25" s="96" t="s">
        <v>142</v>
      </c>
      <c r="D25" s="193">
        <v>0</v>
      </c>
      <c r="E25" s="194">
        <v>0</v>
      </c>
      <c r="F25" s="194">
        <v>0</v>
      </c>
      <c r="G25" s="194">
        <v>6</v>
      </c>
      <c r="H25" s="195">
        <v>1</v>
      </c>
      <c r="I25" s="196">
        <f>SUM(D25:H25)</f>
        <v>7</v>
      </c>
      <c r="J25" s="197"/>
      <c r="K25" s="198" t="s">
        <v>142</v>
      </c>
      <c r="L25" s="199">
        <v>0</v>
      </c>
      <c r="M25" s="88"/>
    </row>
    <row r="26" spans="2:13">
      <c r="B26" s="87"/>
      <c r="C26" s="97" t="s">
        <v>143</v>
      </c>
      <c r="D26" s="200">
        <v>0</v>
      </c>
      <c r="E26" s="201">
        <v>0</v>
      </c>
      <c r="F26" s="201">
        <v>0</v>
      </c>
      <c r="G26" s="201">
        <v>1278.8075988193391</v>
      </c>
      <c r="H26" s="202">
        <v>400</v>
      </c>
      <c r="I26" s="203">
        <f t="shared" ref="I26:I39" si="0">SUM(D26:H26)</f>
        <v>1678.8075988193391</v>
      </c>
      <c r="J26" s="197"/>
      <c r="K26" s="204" t="s">
        <v>143</v>
      </c>
      <c r="L26" s="205">
        <v>0</v>
      </c>
      <c r="M26" s="88"/>
    </row>
    <row r="27" spans="2:13" ht="15.75" customHeight="1">
      <c r="B27" s="87"/>
      <c r="C27" s="77" t="s">
        <v>144</v>
      </c>
      <c r="D27" s="206">
        <f t="shared" ref="D27:H27" si="1">SUM(D28,D33,D31,D32,D38,D39)</f>
        <v>0</v>
      </c>
      <c r="E27" s="207">
        <f t="shared" si="1"/>
        <v>0</v>
      </c>
      <c r="F27" s="207">
        <f t="shared" si="1"/>
        <v>0</v>
      </c>
      <c r="G27" s="207">
        <f t="shared" si="1"/>
        <v>605.20447087770776</v>
      </c>
      <c r="H27" s="203">
        <f t="shared" si="1"/>
        <v>45.600000000000009</v>
      </c>
      <c r="I27" s="203">
        <f t="shared" si="0"/>
        <v>650.80447087770779</v>
      </c>
      <c r="J27" s="197"/>
      <c r="K27" s="206" t="s">
        <v>144</v>
      </c>
      <c r="L27" s="208">
        <f>SUM(L28,L33,L32,L31,L38,L39)</f>
        <v>0</v>
      </c>
      <c r="M27" s="88"/>
    </row>
    <row r="28" spans="2:13">
      <c r="B28" s="87"/>
      <c r="C28" s="99" t="s">
        <v>16</v>
      </c>
      <c r="D28" s="207">
        <f t="shared" ref="D28:H28" si="2">SUM(D29:D30)</f>
        <v>0</v>
      </c>
      <c r="E28" s="207">
        <f t="shared" si="2"/>
        <v>0</v>
      </c>
      <c r="F28" s="207">
        <f t="shared" si="2"/>
        <v>0</v>
      </c>
      <c r="G28" s="207">
        <f t="shared" si="2"/>
        <v>426.14288654622897</v>
      </c>
      <c r="H28" s="210">
        <f t="shared" si="2"/>
        <v>45.424000000000007</v>
      </c>
      <c r="I28" s="203">
        <f t="shared" si="0"/>
        <v>471.56688654622894</v>
      </c>
      <c r="J28" s="197"/>
      <c r="K28" s="206" t="s">
        <v>16</v>
      </c>
      <c r="L28" s="208">
        <f>SUM(L29:L30)</f>
        <v>0</v>
      </c>
      <c r="M28" s="88"/>
    </row>
    <row r="29" spans="2:13">
      <c r="B29" s="87"/>
      <c r="C29" s="100" t="s">
        <v>17</v>
      </c>
      <c r="D29" s="211">
        <v>0</v>
      </c>
      <c r="E29" s="192">
        <v>0</v>
      </c>
      <c r="F29" s="192">
        <v>0</v>
      </c>
      <c r="G29" s="192">
        <v>426.14288654622897</v>
      </c>
      <c r="H29" s="212">
        <v>13.504000000000005</v>
      </c>
      <c r="I29" s="203">
        <f t="shared" si="0"/>
        <v>439.64688654622898</v>
      </c>
      <c r="J29" s="197"/>
      <c r="K29" s="213" t="s">
        <v>17</v>
      </c>
      <c r="L29" s="214">
        <v>0</v>
      </c>
      <c r="M29" s="88"/>
    </row>
    <row r="30" spans="2:13">
      <c r="B30" s="87"/>
      <c r="C30" s="100" t="s">
        <v>18</v>
      </c>
      <c r="D30" s="211">
        <v>0</v>
      </c>
      <c r="E30" s="192">
        <v>0</v>
      </c>
      <c r="F30" s="192">
        <v>0</v>
      </c>
      <c r="G30" s="192">
        <v>0</v>
      </c>
      <c r="H30" s="212">
        <v>31.919999999999998</v>
      </c>
      <c r="I30" s="203">
        <f t="shared" si="0"/>
        <v>31.919999999999998</v>
      </c>
      <c r="J30" s="197"/>
      <c r="K30" s="213" t="s">
        <v>18</v>
      </c>
      <c r="L30" s="214">
        <v>0</v>
      </c>
      <c r="M30" s="88"/>
    </row>
    <row r="31" spans="2:13">
      <c r="B31" s="87"/>
      <c r="C31" s="101" t="s">
        <v>19</v>
      </c>
      <c r="D31" s="215">
        <v>0</v>
      </c>
      <c r="E31" s="216">
        <v>0</v>
      </c>
      <c r="F31" s="216">
        <v>0</v>
      </c>
      <c r="G31" s="216">
        <v>0</v>
      </c>
      <c r="H31" s="217">
        <v>0</v>
      </c>
      <c r="I31" s="203">
        <f t="shared" si="0"/>
        <v>0</v>
      </c>
      <c r="J31" s="197"/>
      <c r="K31" s="218" t="s">
        <v>19</v>
      </c>
      <c r="L31" s="219">
        <v>0</v>
      </c>
      <c r="M31" s="88"/>
    </row>
    <row r="32" spans="2:13">
      <c r="B32" s="87"/>
      <c r="C32" s="97" t="s">
        <v>20</v>
      </c>
      <c r="D32" s="200">
        <v>0</v>
      </c>
      <c r="E32" s="201">
        <v>0</v>
      </c>
      <c r="F32" s="201">
        <v>0</v>
      </c>
      <c r="G32" s="201">
        <v>0</v>
      </c>
      <c r="H32" s="202">
        <v>0</v>
      </c>
      <c r="I32" s="203">
        <f t="shared" si="0"/>
        <v>0</v>
      </c>
      <c r="J32" s="197"/>
      <c r="K32" s="204" t="s">
        <v>20</v>
      </c>
      <c r="L32" s="205">
        <v>0</v>
      </c>
      <c r="M32" s="88"/>
    </row>
    <row r="33" spans="1:13">
      <c r="B33" s="87"/>
      <c r="C33" s="99" t="s">
        <v>24</v>
      </c>
      <c r="D33" s="209">
        <f t="shared" ref="D33:H33" si="3">SUM(D34:D37)</f>
        <v>0</v>
      </c>
      <c r="E33" s="207">
        <f t="shared" si="3"/>
        <v>0</v>
      </c>
      <c r="F33" s="207">
        <f t="shared" si="3"/>
        <v>0</v>
      </c>
      <c r="G33" s="207">
        <f t="shared" si="3"/>
        <v>0</v>
      </c>
      <c r="H33" s="210">
        <f t="shared" si="3"/>
        <v>0</v>
      </c>
      <c r="I33" s="203">
        <f t="shared" si="0"/>
        <v>0</v>
      </c>
      <c r="J33" s="197"/>
      <c r="K33" s="206" t="s">
        <v>24</v>
      </c>
      <c r="L33" s="208">
        <f t="shared" ref="L33" si="4">SUM(L34:L37)</f>
        <v>0</v>
      </c>
      <c r="M33" s="88"/>
    </row>
    <row r="34" spans="1:13">
      <c r="B34" s="87"/>
      <c r="C34" s="100" t="s">
        <v>25</v>
      </c>
      <c r="D34" s="211">
        <v>0</v>
      </c>
      <c r="E34" s="192">
        <v>0</v>
      </c>
      <c r="F34" s="192">
        <v>0</v>
      </c>
      <c r="G34" s="192">
        <v>0</v>
      </c>
      <c r="H34" s="212">
        <v>0</v>
      </c>
      <c r="I34" s="203">
        <f t="shared" si="0"/>
        <v>0</v>
      </c>
      <c r="J34" s="197"/>
      <c r="K34" s="213" t="s">
        <v>25</v>
      </c>
      <c r="L34" s="214">
        <v>0</v>
      </c>
      <c r="M34" s="88"/>
    </row>
    <row r="35" spans="1:13">
      <c r="B35" s="87"/>
      <c r="C35" s="100" t="s">
        <v>26</v>
      </c>
      <c r="D35" s="211">
        <v>0</v>
      </c>
      <c r="E35" s="192">
        <v>0</v>
      </c>
      <c r="F35" s="192">
        <v>0</v>
      </c>
      <c r="G35" s="192">
        <v>0</v>
      </c>
      <c r="H35" s="212">
        <v>0</v>
      </c>
      <c r="I35" s="203">
        <f t="shared" si="0"/>
        <v>0</v>
      </c>
      <c r="J35" s="197"/>
      <c r="K35" s="213" t="s">
        <v>26</v>
      </c>
      <c r="L35" s="214">
        <v>0</v>
      </c>
      <c r="M35" s="88"/>
    </row>
    <row r="36" spans="1:13">
      <c r="B36" s="87"/>
      <c r="C36" s="100" t="s">
        <v>27</v>
      </c>
      <c r="D36" s="211">
        <v>0</v>
      </c>
      <c r="E36" s="192">
        <v>0</v>
      </c>
      <c r="F36" s="192">
        <v>0</v>
      </c>
      <c r="G36" s="192">
        <v>0</v>
      </c>
      <c r="H36" s="212">
        <v>0</v>
      </c>
      <c r="I36" s="203">
        <f t="shared" si="0"/>
        <v>0</v>
      </c>
      <c r="J36" s="197"/>
      <c r="K36" s="213" t="s">
        <v>27</v>
      </c>
      <c r="L36" s="214">
        <v>0</v>
      </c>
      <c r="M36" s="88"/>
    </row>
    <row r="37" spans="1:13">
      <c r="B37" s="87"/>
      <c r="C37" s="100" t="s">
        <v>28</v>
      </c>
      <c r="D37" s="211">
        <v>0</v>
      </c>
      <c r="E37" s="192">
        <v>0</v>
      </c>
      <c r="F37" s="192">
        <v>0</v>
      </c>
      <c r="G37" s="192">
        <v>0</v>
      </c>
      <c r="H37" s="212">
        <v>0</v>
      </c>
      <c r="I37" s="203">
        <f t="shared" si="0"/>
        <v>0</v>
      </c>
      <c r="J37" s="197"/>
      <c r="K37" s="213" t="s">
        <v>28</v>
      </c>
      <c r="L37" s="214">
        <v>0</v>
      </c>
      <c r="M37" s="88"/>
    </row>
    <row r="38" spans="1:13">
      <c r="B38" s="87"/>
      <c r="C38" s="101" t="s">
        <v>23</v>
      </c>
      <c r="D38" s="215">
        <v>0</v>
      </c>
      <c r="E38" s="216">
        <v>0</v>
      </c>
      <c r="F38" s="216">
        <v>0</v>
      </c>
      <c r="G38" s="216">
        <v>179.06158433147877</v>
      </c>
      <c r="H38" s="217">
        <v>0.17600000000000002</v>
      </c>
      <c r="I38" s="203">
        <f t="shared" si="0"/>
        <v>179.23758433147876</v>
      </c>
      <c r="J38" s="220"/>
      <c r="K38" s="221" t="s">
        <v>23</v>
      </c>
      <c r="L38" s="219">
        <v>0</v>
      </c>
      <c r="M38" s="88"/>
    </row>
    <row r="39" spans="1:13">
      <c r="B39" s="87"/>
      <c r="C39" s="97" t="s">
        <v>32</v>
      </c>
      <c r="D39" s="200">
        <v>0</v>
      </c>
      <c r="E39" s="216">
        <v>0</v>
      </c>
      <c r="F39" s="216">
        <v>0</v>
      </c>
      <c r="G39" s="216">
        <v>0</v>
      </c>
      <c r="H39" s="217">
        <v>0</v>
      </c>
      <c r="I39" s="203">
        <f t="shared" si="0"/>
        <v>0</v>
      </c>
      <c r="J39" s="197"/>
      <c r="K39" s="204" t="s">
        <v>32</v>
      </c>
      <c r="L39" s="219">
        <v>0</v>
      </c>
      <c r="M39" s="88"/>
    </row>
    <row r="40" spans="1:13" ht="15.75" thickBot="1">
      <c r="B40" s="87"/>
      <c r="C40" s="102" t="s">
        <v>129</v>
      </c>
      <c r="D40" s="222">
        <v>0</v>
      </c>
      <c r="E40" s="223">
        <v>0</v>
      </c>
      <c r="F40" s="224">
        <v>0</v>
      </c>
      <c r="G40" s="224">
        <v>13.09</v>
      </c>
      <c r="H40" s="225">
        <v>0</v>
      </c>
      <c r="I40" s="226">
        <f>SUM(D40:H40)</f>
        <v>13.09</v>
      </c>
      <c r="J40" s="197"/>
      <c r="K40" s="227" t="s">
        <v>129</v>
      </c>
      <c r="L40" s="228">
        <v>0</v>
      </c>
      <c r="M40" s="88"/>
    </row>
    <row r="41" spans="1:13">
      <c r="B41" s="87"/>
      <c r="M41" s="88"/>
    </row>
    <row r="42" spans="1:13" ht="15.75" thickBot="1">
      <c r="B42" s="87"/>
      <c r="C42" s="103" t="s">
        <v>145</v>
      </c>
      <c r="M42" s="88"/>
    </row>
    <row r="43" spans="1:13" ht="14.85" customHeight="1" thickBot="1">
      <c r="B43" s="87"/>
      <c r="C43" s="104" t="s">
        <v>130</v>
      </c>
      <c r="D43" s="280" t="s">
        <v>137</v>
      </c>
      <c r="E43" s="281"/>
      <c r="F43" s="281"/>
      <c r="G43" s="281"/>
      <c r="H43" s="281"/>
      <c r="I43" s="282"/>
      <c r="K43" s="104" t="s">
        <v>130</v>
      </c>
      <c r="L43" s="69" t="s">
        <v>137</v>
      </c>
      <c r="M43" s="88"/>
    </row>
    <row r="44" spans="1:13" ht="45.75" thickBot="1">
      <c r="A44" s="10"/>
      <c r="B44" s="105"/>
      <c r="C44" s="106" t="s">
        <v>146</v>
      </c>
      <c r="D44" s="91" t="s">
        <v>123</v>
      </c>
      <c r="E44" s="92" t="s">
        <v>124</v>
      </c>
      <c r="F44" s="92" t="s">
        <v>125</v>
      </c>
      <c r="G44" s="92" t="s">
        <v>126</v>
      </c>
      <c r="H44" s="93" t="s">
        <v>127</v>
      </c>
      <c r="I44" s="94" t="s">
        <v>139</v>
      </c>
      <c r="J44" s="10"/>
      <c r="K44" s="106" t="s">
        <v>147</v>
      </c>
      <c r="L44" s="107" t="s">
        <v>148</v>
      </c>
      <c r="M44" s="88"/>
    </row>
    <row r="45" spans="1:13">
      <c r="B45" s="87"/>
      <c r="C45" s="75" t="s">
        <v>142</v>
      </c>
      <c r="D45" s="242">
        <f>COUNTIFS('Budget major project list'!$B$5:$XFD$5,'Summary project budget'!$C$43,'Budget major project list'!$B$14:$XFD$14,'Summary project budget'!D$44,'Budget major project list'!$B$7:$XFD$7,REFERENCE!$A$34)</f>
        <v>0</v>
      </c>
      <c r="E45" s="242">
        <f>COUNTIFS('Budget major project list'!$B$5:$XFD$5,'Summary project budget'!$C$43,'Budget major project list'!$B$14:$XFD$14,'Summary project budget'!E$44,'Budget major project list'!$B$7:$XFD$7,REFERENCE!$A$34)</f>
        <v>0</v>
      </c>
      <c r="F45" s="242">
        <f>COUNTIFS('Budget major project list'!$B$5:$XFD$5,'Summary project budget'!$C$43,'Budget major project list'!$B$14:$XFD$14,'Summary project budget'!F$44,'Budget major project list'!$B$7:$XFD$7,REFERENCE!$A$34)</f>
        <v>0</v>
      </c>
      <c r="G45" s="256">
        <f>COUNTIFS('Budget major project list'!$B$5:$XFD$5,'Summary project budget'!$C$43,'Budget major project list'!$B$14:$XFD$14,'Summary project budget'!G$44,'Budget major project list'!$B$7:$XFD$7,REFERENCE!$A$34)</f>
        <v>21</v>
      </c>
      <c r="H45" s="257">
        <f>COUNTIFS('Budget major project list'!$B$5:$XFD$5,'Summary project budget'!$C$43,'Budget major project list'!$B$14:$XFD$14,'Summary project budget'!H$44,'Budget major project list'!$B$7:$XFD$7,REFERENCE!$A$34)</f>
        <v>0</v>
      </c>
      <c r="I45" s="258">
        <f>SUM(D45:H45)</f>
        <v>21</v>
      </c>
      <c r="J45" s="197"/>
      <c r="K45" s="268" t="s">
        <v>142</v>
      </c>
      <c r="L45" s="244">
        <f>COUNTIFS('Budget major project list'!$B$5:$XFD$5,'Summary project budget'!$C$43,'Budget major project list'!$B$14:$XFD$14,$L$44,'Budget major project list'!$B$7:$XFD$7,REFERENCE!$A$35)</f>
        <v>1</v>
      </c>
      <c r="M45" s="88"/>
    </row>
    <row r="46" spans="1:13" s="10" customFormat="1">
      <c r="A46" s="4"/>
      <c r="B46" s="87"/>
      <c r="C46" s="43" t="s">
        <v>143</v>
      </c>
      <c r="D46" s="245">
        <f>SUMIFS('Budget major project list'!$B$10:$XFD$10,'Budget major project list'!$B$5:$XFD$5,'Summary project budget'!$C$43,'Budget major project list'!$B$14:$XFD$14,'Summary project budget'!D$44,'Budget major project list'!$B$7:$XFD$7,REFERENCE!$A$34)</f>
        <v>0</v>
      </c>
      <c r="E46" s="246">
        <f>SUMIFS('Budget major project list'!$B$10:$XFD$10,'Budget major project list'!$B$5:$XFD$5,'Summary project budget'!$C$43,'Budget major project list'!$B$14:$XFD$14,'Summary project budget'!E$44,'Budget major project list'!$B$7:$XFD$7,REFERENCE!$A$34)</f>
        <v>0</v>
      </c>
      <c r="F46" s="246">
        <f>SUMIFS('Budget major project list'!$B$10:$XFD$10,'Budget major project list'!$B$5:$XFD$5,'Summary project budget'!$C$43,'Budget major project list'!$B$14:$XFD$14,'Summary project budget'!F$44,'Budget major project list'!$B$7:$XFD$7,REFERENCE!$A$34)</f>
        <v>0</v>
      </c>
      <c r="G46" s="259">
        <f>SUMIFS('Budget major project list'!$B$10:$XFD$10,'Budget major project list'!$B$5:$XFD$5,'Summary project budget'!$C$43,'Budget major project list'!$B$14:$XFD$14,'Summary project budget'!G$44,'Budget major project list'!$B$7:$XFD$7,REFERENCE!$A$34)</f>
        <v>126187.09644764251</v>
      </c>
      <c r="H46" s="260">
        <f>SUMIFS('Budget major project list'!$B$10:$XFD$10,'Budget major project list'!$B$5:$XFD$5,'Summary project budget'!$C$43,'Budget major project list'!$B$14:$XFD$14,'Summary project budget'!H$44,'Budget major project list'!$B$7:$XFD$7,REFERENCE!$A$34)</f>
        <v>0</v>
      </c>
      <c r="I46" s="261">
        <f t="shared" ref="I46:I59" si="5">SUM(D46:H46)</f>
        <v>126187.09644764251</v>
      </c>
      <c r="J46" s="197"/>
      <c r="K46" s="99" t="s">
        <v>143</v>
      </c>
      <c r="L46" s="78">
        <f>SUMIFS('Budget major project list'!$B10:$XFD10,'Budget major project list'!$B$5:$XFD$5,$C$43,'Budget major project list'!$B$14:$XFD$14,L$44,'Budget major project list'!$B$7:$XFD$7,REFERENCE!$A$35)</f>
        <v>650</v>
      </c>
      <c r="M46" s="108"/>
    </row>
    <row r="47" spans="1:13" ht="16.5" customHeight="1">
      <c r="B47" s="87"/>
      <c r="C47" s="43" t="s">
        <v>144</v>
      </c>
      <c r="D47" s="245">
        <f>SUMIFS('Budget major project list'!$B15:$XFD15,'Budget major project list'!$B$5:$XFD$5,$C$43,'Budget major project list'!$B$14:$XFD$14,D$44,'Budget major project list'!$B$7:$XFD$7,REFERENCE!$A$34)</f>
        <v>0</v>
      </c>
      <c r="E47" s="246">
        <f>SUMIFS('Budget major project list'!$B15:$XFD15,'Budget major project list'!$B$5:$XFD$5,$C$43,'Budget major project list'!$B$14:$XFD$14,E$44,'Budget major project list'!$B$7:$XFD$7,REFERENCE!$A$34)</f>
        <v>0</v>
      </c>
      <c r="F47" s="246">
        <f>SUMIFS('Budget major project list'!$B15:$XFD15,'Budget major project list'!$B$5:$XFD$5,$C$43,'Budget major project list'!$B$14:$XFD$14,F$44,'Budget major project list'!$B$7:$XFD$7,REFERENCE!$A$34)</f>
        <v>0</v>
      </c>
      <c r="G47" s="259">
        <f>SUMIFS('Budget major project list'!$B15:$XFD15,'Budget major project list'!$B$5:$XFD$5,$C$43,'Budget major project list'!$B$14:$XFD$14,G$44,'Budget major project list'!$B$7:$XFD$7,REFERENCE!$A$34)</f>
        <v>36039.862139960096</v>
      </c>
      <c r="H47" s="260">
        <f>SUMIFS('Budget major project list'!$B15:$XFD15,'Budget major project list'!$B$5:$XFD$5,$C$43,'Budget major project list'!$B$14:$XFD$14,H$44,'Budget major project list'!$B$7:$XFD$7,REFERENCE!$A$34)</f>
        <v>0</v>
      </c>
      <c r="I47" s="261">
        <f t="shared" si="5"/>
        <v>36039.862139960096</v>
      </c>
      <c r="J47" s="197"/>
      <c r="K47" s="99" t="s">
        <v>144</v>
      </c>
      <c r="L47" s="78">
        <f>SUMIFS('Budget major project list'!$B15:$XFD15,'Budget major project list'!$B$5:$XFD$5,$C$43,'Budget major project list'!$B$14:$XFD$14,L$44,'Budget major project list'!$B$7:$XFD$7,REFERENCE!$A$35)</f>
        <v>650</v>
      </c>
      <c r="M47" s="88"/>
    </row>
    <row r="48" spans="1:13">
      <c r="B48" s="87"/>
      <c r="C48" s="43" t="s">
        <v>16</v>
      </c>
      <c r="D48" s="245">
        <f>SUMIFS('Budget major project list'!$B16:$XFD16,'Budget major project list'!$B$5:$XFD$5,$C$43,'Budget major project list'!$B$14:$XFD$14,D$44,'Budget major project list'!$B$7:$XFD$7,REFERENCE!$A$34)</f>
        <v>0</v>
      </c>
      <c r="E48" s="246">
        <f>SUMIFS('Budget major project list'!$B16:$XFD16,'Budget major project list'!$B$5:$XFD$5,$C$43,'Budget major project list'!$B$14:$XFD$14,E$44,'Budget major project list'!$B$7:$XFD$7,REFERENCE!$A$34)</f>
        <v>0</v>
      </c>
      <c r="F48" s="246">
        <f>SUMIFS('Budget major project list'!$B16:$XFD16,'Budget major project list'!$B$5:$XFD$5,$C$43,'Budget major project list'!$B$14:$XFD$14,F$44,'Budget major project list'!$B$7:$XFD$7,REFERENCE!$A$34)</f>
        <v>0</v>
      </c>
      <c r="G48" s="259">
        <f>SUMIFS('Budget major project list'!$B16:$XFD16,'Budget major project list'!$B$5:$XFD$5,$C$43,'Budget major project list'!$B$14:$XFD$14,G$44,'Budget major project list'!$B$7:$XFD$7,REFERENCE!$A$34)</f>
        <v>19534.907244874856</v>
      </c>
      <c r="H48" s="260">
        <f>SUMIFS('Budget major project list'!$B16:$XFD16,'Budget major project list'!$B$5:$XFD$5,$C$43,'Budget major project list'!$B$14:$XFD$14,H$44,'Budget major project list'!$B$7:$XFD$7,REFERENCE!$A$34)</f>
        <v>0</v>
      </c>
      <c r="I48" s="261">
        <f t="shared" si="5"/>
        <v>19534.907244874856</v>
      </c>
      <c r="J48" s="197"/>
      <c r="K48" s="99" t="s">
        <v>16</v>
      </c>
      <c r="L48" s="78">
        <f>SUMIFS('Budget major project list'!$B16:$XFD16,'Budget major project list'!$B$5:$XFD$5,$C$43,'Budget major project list'!$B$14:$XFD$14,L$44,'Budget major project list'!$B$7:$XFD$7,REFERENCE!$A$35)</f>
        <v>0</v>
      </c>
      <c r="M48" s="88"/>
    </row>
    <row r="49" spans="1:13">
      <c r="B49" s="87"/>
      <c r="C49" s="109" t="s">
        <v>17</v>
      </c>
      <c r="D49" s="248">
        <f>SUMIFS('Budget major project list'!$B17:$XFD17,'Budget major project list'!$B$5:$XFD$5,$C$43,'Budget major project list'!$B$14:$XFD$14,D$44,'Budget major project list'!$B$7:$XFD$7,REFERENCE!$A$34)</f>
        <v>0</v>
      </c>
      <c r="E49" s="249">
        <f>SUMIFS('Budget major project list'!$B17:$XFD17,'Budget major project list'!$B$5:$XFD$5,$C$43,'Budget major project list'!$B$14:$XFD$14,E$44,'Budget major project list'!$B$7:$XFD$7,REFERENCE!$A$34)</f>
        <v>0</v>
      </c>
      <c r="F49" s="249">
        <f>SUMIFS('Budget major project list'!$B17:$XFD17,'Budget major project list'!$B$5:$XFD$5,$C$43,'Budget major project list'!$B$14:$XFD$14,F$44,'Budget major project list'!$B$7:$XFD$7,REFERENCE!$A$34)</f>
        <v>0</v>
      </c>
      <c r="G49" s="262">
        <f>SUMIFS('Budget major project list'!$B17:$XFD17,'Budget major project list'!$B$5:$XFD$5,$C$43,'Budget major project list'!$B$14:$XFD$14,G$44,'Budget major project list'!$B$7:$XFD$7,REFERENCE!$A$34)</f>
        <v>11801.62642537407</v>
      </c>
      <c r="H49" s="263">
        <f>SUMIFS('Budget major project list'!$B17:$XFD17,'Budget major project list'!$B$5:$XFD$5,$C$43,'Budget major project list'!$B$14:$XFD$14,H$44,'Budget major project list'!$B$7:$XFD$7,REFERENCE!$A$34)</f>
        <v>0</v>
      </c>
      <c r="I49" s="264">
        <f t="shared" si="5"/>
        <v>11801.62642537407</v>
      </c>
      <c r="J49" s="197"/>
      <c r="K49" s="269" t="s">
        <v>17</v>
      </c>
      <c r="L49" s="251">
        <f>SUMIFS('Budget major project list'!$B17:$XFD17,'Budget major project list'!$B$5:$XFD$5,$C$43,'Budget major project list'!$B$14:$XFD$14,L$44,'Budget major project list'!$B$7:$XFD$7,REFERENCE!$A$35)</f>
        <v>0</v>
      </c>
      <c r="M49" s="88"/>
    </row>
    <row r="50" spans="1:13">
      <c r="B50" s="87"/>
      <c r="C50" s="109" t="s">
        <v>18</v>
      </c>
      <c r="D50" s="248">
        <f>SUMIFS('Budget major project list'!$B18:$XFD18,'Budget major project list'!$B$5:$XFD$5,$C$43,'Budget major project list'!$B$14:$XFD$14,D$44,'Budget major project list'!$B$7:$XFD$7,REFERENCE!$A$34)</f>
        <v>0</v>
      </c>
      <c r="E50" s="249">
        <f>SUMIFS('Budget major project list'!$B18:$XFD18,'Budget major project list'!$B$5:$XFD$5,$C$43,'Budget major project list'!$B$14:$XFD$14,E$44,'Budget major project list'!$B$7:$XFD$7,REFERENCE!$A$34)</f>
        <v>0</v>
      </c>
      <c r="F50" s="249">
        <f>SUMIFS('Budget major project list'!$B18:$XFD18,'Budget major project list'!$B$5:$XFD$5,$C$43,'Budget major project list'!$B$14:$XFD$14,F$44,'Budget major project list'!$B$7:$XFD$7,REFERENCE!$A$34)</f>
        <v>0</v>
      </c>
      <c r="G50" s="262">
        <f>SUMIFS('Budget major project list'!$B18:$XFD18,'Budget major project list'!$B$5:$XFD$5,$C$43,'Budget major project list'!$B$14:$XFD$14,G$44,'Budget major project list'!$B$7:$XFD$7,REFERENCE!$A$34)</f>
        <v>7733.2808195007847</v>
      </c>
      <c r="H50" s="263">
        <f>SUMIFS('Budget major project list'!$B18:$XFD18,'Budget major project list'!$B$5:$XFD$5,$C$43,'Budget major project list'!$B$14:$XFD$14,H$44,'Budget major project list'!$B$7:$XFD$7,REFERENCE!$A$34)</f>
        <v>0</v>
      </c>
      <c r="I50" s="264">
        <f t="shared" si="5"/>
        <v>7733.2808195007847</v>
      </c>
      <c r="J50" s="197"/>
      <c r="K50" s="269" t="s">
        <v>18</v>
      </c>
      <c r="L50" s="251">
        <f>SUMIFS('Budget major project list'!$B18:$XFD18,'Budget major project list'!$B$5:$XFD$5,$C$43,'Budget major project list'!$B$14:$XFD$14,L$44,'Budget major project list'!$B$7:$XFD$7,REFERENCE!$A$35)</f>
        <v>0</v>
      </c>
      <c r="M50" s="88"/>
    </row>
    <row r="51" spans="1:13">
      <c r="A51" s="11"/>
      <c r="B51" s="76"/>
      <c r="C51" s="37" t="s">
        <v>19</v>
      </c>
      <c r="D51" s="245">
        <f>SUMIFS('Budget major project list'!$B19:$XFD19,'Budget major project list'!$B$5:$XFD$5,$C$43,'Budget major project list'!$B$14:$XFD$14,D$44,'Budget major project list'!$B$7:$XFD$7,REFERENCE!$A$34)</f>
        <v>0</v>
      </c>
      <c r="E51" s="246">
        <f>SUMIFS('Budget major project list'!$B19:$XFD19,'Budget major project list'!$B$5:$XFD$5,$C$43,'Budget major project list'!$B$14:$XFD$14,E$44,'Budget major project list'!$B$7:$XFD$7,REFERENCE!$A$34)</f>
        <v>0</v>
      </c>
      <c r="F51" s="246">
        <f>SUMIFS('Budget major project list'!$B19:$XFD19,'Budget major project list'!$B$5:$XFD$5,$C$43,'Budget major project list'!$B$14:$XFD$14,F$44,'Budget major project list'!$B$7:$XFD$7,REFERENCE!$A$34)</f>
        <v>0</v>
      </c>
      <c r="G51" s="259">
        <f>SUMIFS('Budget major project list'!$B19:$XFD19,'Budget major project list'!$B$5:$XFD$5,$C$43,'Budget major project list'!$B$14:$XFD$14,G$44,'Budget major project list'!$B$7:$XFD$7,REFERENCE!$A$34)</f>
        <v>2621.9728299016588</v>
      </c>
      <c r="H51" s="260">
        <f>SUMIFS('Budget major project list'!$B19:$XFD19,'Budget major project list'!$B$5:$XFD$5,$C$43,'Budget major project list'!$B$14:$XFD$14,H$44,'Budget major project list'!$B$7:$XFD$7,REFERENCE!$A$34)</f>
        <v>0</v>
      </c>
      <c r="I51" s="261">
        <f t="shared" si="5"/>
        <v>2621.9728299016588</v>
      </c>
      <c r="J51" s="197"/>
      <c r="K51" s="110" t="s">
        <v>19</v>
      </c>
      <c r="L51" s="78">
        <f>SUMIFS('Budget major project list'!$B19:$XFD19,'Budget major project list'!$B$5:$XFD$5,$C$43,'Budget major project list'!$B$14:$XFD$14,L$44,'Budget major project list'!$B$7:$XFD$7,REFERENCE!$A$35)</f>
        <v>650</v>
      </c>
      <c r="M51" s="88"/>
    </row>
    <row r="52" spans="1:13" s="11" customFormat="1">
      <c r="A52" s="4"/>
      <c r="B52" s="87"/>
      <c r="C52" s="43" t="s">
        <v>20</v>
      </c>
      <c r="D52" s="245">
        <f>SUMIFS('Budget major project list'!$B20:$XFD20,'Budget major project list'!$B$5:$XFD$5,$C$43,'Budget major project list'!$B$14:$XFD$14,D$44,'Budget major project list'!$B$7:$XFD$7,REFERENCE!$A$34)</f>
        <v>0</v>
      </c>
      <c r="E52" s="246">
        <f>SUMIFS('Budget major project list'!$B20:$XFD20,'Budget major project list'!$B$5:$XFD$5,$C$43,'Budget major project list'!$B$14:$XFD$14,E$44,'Budget major project list'!$B$7:$XFD$7,REFERENCE!$A$34)</f>
        <v>0</v>
      </c>
      <c r="F52" s="246">
        <f>SUMIFS('Budget major project list'!$B20:$XFD20,'Budget major project list'!$B$5:$XFD$5,$C$43,'Budget major project list'!$B$14:$XFD$14,F$44,'Budget major project list'!$B$7:$XFD$7,REFERENCE!$A$34)</f>
        <v>0</v>
      </c>
      <c r="G52" s="259">
        <f>SUMIFS('Budget major project list'!$B20:$XFD20,'Budget major project list'!$B$5:$XFD$5,$C$43,'Budget major project list'!$B$14:$XFD$14,G$44,'Budget major project list'!$B$7:$XFD$7,REFERENCE!$A$34)</f>
        <v>0</v>
      </c>
      <c r="H52" s="260">
        <f>SUMIFS('Budget major project list'!$B20:$XFD20,'Budget major project list'!$B$5:$XFD$5,$C$43,'Budget major project list'!$B$14:$XFD$14,H$44,'Budget major project list'!$B$7:$XFD$7,REFERENCE!$A$34)</f>
        <v>0</v>
      </c>
      <c r="I52" s="261">
        <f t="shared" si="5"/>
        <v>0</v>
      </c>
      <c r="J52" s="197"/>
      <c r="K52" s="99" t="s">
        <v>20</v>
      </c>
      <c r="L52" s="78">
        <f>SUMIFS('Budget major project list'!$B20:$XFD20,'Budget major project list'!$B$5:$XFD$5,$C$43,'Budget major project list'!$B$14:$XFD$14,L$44,'Budget major project list'!$B$7:$XFD$7,REFERENCE!$A$35)</f>
        <v>0</v>
      </c>
      <c r="M52" s="111"/>
    </row>
    <row r="53" spans="1:13">
      <c r="B53" s="87"/>
      <c r="C53" s="43" t="s">
        <v>24</v>
      </c>
      <c r="D53" s="245">
        <f>SUMIFS('Budget major project list'!$B21:$XFD21,'Budget major project list'!$B$5:$XFD$5,$C$43,'Budget major project list'!$B$14:$XFD$14,D$44,'Budget major project list'!$B$7:$XFD$7,REFERENCE!$A$34)</f>
        <v>0</v>
      </c>
      <c r="E53" s="246">
        <f>SUMIFS('Budget major project list'!$B21:$XFD21,'Budget major project list'!$B$5:$XFD$5,$C$43,'Budget major project list'!$B$14:$XFD$14,E$44,'Budget major project list'!$B$7:$XFD$7,REFERENCE!$A$34)</f>
        <v>0</v>
      </c>
      <c r="F53" s="246">
        <f>SUMIFS('Budget major project list'!$B21:$XFD21,'Budget major project list'!$B$5:$XFD$5,$C$43,'Budget major project list'!$B$14:$XFD$14,F$44,'Budget major project list'!$B$7:$XFD$7,REFERENCE!$A$34)</f>
        <v>0</v>
      </c>
      <c r="G53" s="259">
        <f>SUMIFS('Budget major project list'!$B21:$XFD21,'Budget major project list'!$B$5:$XFD$5,$C$43,'Budget major project list'!$B$14:$XFD$14,G$44,'Budget major project list'!$B$7:$XFD$7,REFERENCE!$A$34)</f>
        <v>2387.5071257484587</v>
      </c>
      <c r="H53" s="260">
        <f>SUMIFS('Budget major project list'!$B21:$XFD21,'Budget major project list'!$B$5:$XFD$5,$C$43,'Budget major project list'!$B$14:$XFD$14,H$44,'Budget major project list'!$B$7:$XFD$7,REFERENCE!$A$34)</f>
        <v>0</v>
      </c>
      <c r="I53" s="261">
        <f t="shared" si="5"/>
        <v>2387.5071257484587</v>
      </c>
      <c r="J53" s="197"/>
      <c r="K53" s="99" t="s">
        <v>24</v>
      </c>
      <c r="L53" s="78">
        <f>SUMIFS('Budget major project list'!$B21:$XFD21,'Budget major project list'!$B$5:$XFD$5,$C$43,'Budget major project list'!$B$14:$XFD$14,L$44,'Budget major project list'!$B$7:$XFD$7,REFERENCE!$A$35)</f>
        <v>0</v>
      </c>
      <c r="M53" s="88"/>
    </row>
    <row r="54" spans="1:13">
      <c r="B54" s="87"/>
      <c r="C54" s="109" t="s">
        <v>25</v>
      </c>
      <c r="D54" s="248">
        <f>SUMIFS('Budget major project list'!$B22:$XFD22,'Budget major project list'!$B$5:$XFD$5,$C$43,'Budget major project list'!$B$14:$XFD$14,D$44,'Budget major project list'!$B$7:$XFD$7,REFERENCE!$A$34)</f>
        <v>0</v>
      </c>
      <c r="E54" s="249">
        <f>SUMIFS('Budget major project list'!$B22:$XFD22,'Budget major project list'!$B$5:$XFD$5,$C$43,'Budget major project list'!$B$14:$XFD$14,E$44,'Budget major project list'!$B$7:$XFD$7,REFERENCE!$A$34)</f>
        <v>0</v>
      </c>
      <c r="F54" s="249">
        <f>SUMIFS('Budget major project list'!$B22:$XFD22,'Budget major project list'!$B$5:$XFD$5,$C$43,'Budget major project list'!$B$14:$XFD$14,F$44,'Budget major project list'!$B$7:$XFD$7,REFERENCE!$A$34)</f>
        <v>0</v>
      </c>
      <c r="G54" s="262">
        <f>SUMIFS('Budget major project list'!$B22:$XFD22,'Budget major project list'!$B$5:$XFD$5,$C$43,'Budget major project list'!$B$14:$XFD$14,G$44,'Budget major project list'!$B$7:$XFD$7,REFERENCE!$A$34)</f>
        <v>0</v>
      </c>
      <c r="H54" s="263">
        <f>SUMIFS('Budget major project list'!$B22:$XFD22,'Budget major project list'!$B$5:$XFD$5,$C$43,'Budget major project list'!$B$14:$XFD$14,H$44,'Budget major project list'!$B$7:$XFD$7,REFERENCE!$A$34)</f>
        <v>0</v>
      </c>
      <c r="I54" s="264">
        <f t="shared" si="5"/>
        <v>0</v>
      </c>
      <c r="J54" s="197"/>
      <c r="K54" s="269" t="s">
        <v>25</v>
      </c>
      <c r="L54" s="251">
        <f>SUMIFS('Budget major project list'!$B22:$XFD22,'Budget major project list'!$B$5:$XFD$5,$C$43,'Budget major project list'!$B$14:$XFD$14,L$44,'Budget major project list'!$B$7:$XFD$7,REFERENCE!$A$35)</f>
        <v>0</v>
      </c>
      <c r="M54" s="88"/>
    </row>
    <row r="55" spans="1:13">
      <c r="B55" s="87"/>
      <c r="C55" s="109" t="s">
        <v>26</v>
      </c>
      <c r="D55" s="248">
        <f>SUMIFS('Budget major project list'!$B23:$XFD23,'Budget major project list'!$B$5:$XFD$5,$C$43,'Budget major project list'!$B$14:$XFD$14,D$44,'Budget major project list'!$B$7:$XFD$7,REFERENCE!$A$34)</f>
        <v>0</v>
      </c>
      <c r="E55" s="249">
        <f>SUMIFS('Budget major project list'!$B23:$XFD23,'Budget major project list'!$B$5:$XFD$5,$C$43,'Budget major project list'!$B$14:$XFD$14,E$44,'Budget major project list'!$B$7:$XFD$7,REFERENCE!$A$34)</f>
        <v>0</v>
      </c>
      <c r="F55" s="249">
        <f>SUMIFS('Budget major project list'!$B23:$XFD23,'Budget major project list'!$B$5:$XFD$5,$C$43,'Budget major project list'!$B$14:$XFD$14,F$44,'Budget major project list'!$B$7:$XFD$7,REFERENCE!$A$34)</f>
        <v>0</v>
      </c>
      <c r="G55" s="262">
        <f>SUMIFS('Budget major project list'!$B23:$XFD23,'Budget major project list'!$B$5:$XFD$5,$C$43,'Budget major project list'!$B$14:$XFD$14,G$44,'Budget major project list'!$B$7:$XFD$7,REFERENCE!$A$34)</f>
        <v>2387.5071257484587</v>
      </c>
      <c r="H55" s="263">
        <f>SUMIFS('Budget major project list'!$B23:$XFD23,'Budget major project list'!$B$5:$XFD$5,$C$43,'Budget major project list'!$B$14:$XFD$14,H$44,'Budget major project list'!$B$7:$XFD$7,REFERENCE!$A$34)</f>
        <v>0</v>
      </c>
      <c r="I55" s="264">
        <f t="shared" si="5"/>
        <v>2387.5071257484587</v>
      </c>
      <c r="J55" s="197"/>
      <c r="K55" s="269" t="s">
        <v>26</v>
      </c>
      <c r="L55" s="251">
        <f>SUMIFS('Budget major project list'!$B23:$XFD23,'Budget major project list'!$B$5:$XFD$5,$C$43,'Budget major project list'!$B$14:$XFD$14,L$44,'Budget major project list'!$B$7:$XFD$7,REFERENCE!$A$35)</f>
        <v>0</v>
      </c>
      <c r="M55" s="88"/>
    </row>
    <row r="56" spans="1:13">
      <c r="B56" s="87"/>
      <c r="C56" s="109" t="s">
        <v>27</v>
      </c>
      <c r="D56" s="248">
        <f>SUMIFS('Budget major project list'!$B24:$XFD24,'Budget major project list'!$B$5:$XFD$5,$C$43,'Budget major project list'!$B$14:$XFD$14,D$44,'Budget major project list'!$B$7:$XFD$7,REFERENCE!$A$34)</f>
        <v>0</v>
      </c>
      <c r="E56" s="249">
        <f>SUMIFS('Budget major project list'!$B24:$XFD24,'Budget major project list'!$B$5:$XFD$5,$C$43,'Budget major project list'!$B$14:$XFD$14,E$44,'Budget major project list'!$B$7:$XFD$7,REFERENCE!$A$34)</f>
        <v>0</v>
      </c>
      <c r="F56" s="249">
        <f>SUMIFS('Budget major project list'!$B24:$XFD24,'Budget major project list'!$B$5:$XFD$5,$C$43,'Budget major project list'!$B$14:$XFD$14,F$44,'Budget major project list'!$B$7:$XFD$7,REFERENCE!$A$34)</f>
        <v>0</v>
      </c>
      <c r="G56" s="262">
        <f>SUMIFS('Budget major project list'!$B24:$XFD24,'Budget major project list'!$B$5:$XFD$5,$C$43,'Budget major project list'!$B$14:$XFD$14,G$44,'Budget major project list'!$B$7:$XFD$7,REFERENCE!$A$34)</f>
        <v>0</v>
      </c>
      <c r="H56" s="263">
        <f>SUMIFS('Budget major project list'!$B24:$XFD24,'Budget major project list'!$B$5:$XFD$5,$C$43,'Budget major project list'!$B$14:$XFD$14,H$44,'Budget major project list'!$B$7:$XFD$7,REFERENCE!$A$34)</f>
        <v>0</v>
      </c>
      <c r="I56" s="264">
        <f t="shared" si="5"/>
        <v>0</v>
      </c>
      <c r="J56" s="197"/>
      <c r="K56" s="269" t="s">
        <v>27</v>
      </c>
      <c r="L56" s="251">
        <f>SUMIFS('Budget major project list'!$B24:$XFD24,'Budget major project list'!$B$5:$XFD$5,$C$43,'Budget major project list'!$B$14:$XFD$14,L$44,'Budget major project list'!$B$7:$XFD$7,REFERENCE!$A$35)</f>
        <v>0</v>
      </c>
      <c r="M56" s="88"/>
    </row>
    <row r="57" spans="1:13">
      <c r="B57" s="87"/>
      <c r="C57" s="109" t="s">
        <v>28</v>
      </c>
      <c r="D57" s="248">
        <f>SUMIFS('Budget major project list'!$B25:$XFD25,'Budget major project list'!$B$5:$XFD$5,$C$43,'Budget major project list'!$B$14:$XFD$14,D$44,'Budget major project list'!$B$7:$XFD$7,REFERENCE!$A$34)</f>
        <v>0</v>
      </c>
      <c r="E57" s="249">
        <f>SUMIFS('Budget major project list'!$B25:$XFD25,'Budget major project list'!$B$5:$XFD$5,$C$43,'Budget major project list'!$B$14:$XFD$14,E$44,'Budget major project list'!$B$7:$XFD$7,REFERENCE!$A$34)</f>
        <v>0</v>
      </c>
      <c r="F57" s="249">
        <f>SUMIFS('Budget major project list'!$B25:$XFD25,'Budget major project list'!$B$5:$XFD$5,$C$43,'Budget major project list'!$B$14:$XFD$14,F$44,'Budget major project list'!$B$7:$XFD$7,REFERENCE!$A$34)</f>
        <v>0</v>
      </c>
      <c r="G57" s="262">
        <f>SUMIFS('Budget major project list'!$B25:$XFD25,'Budget major project list'!$B$5:$XFD$5,$C$43,'Budget major project list'!$B$14:$XFD$14,G$44,'Budget major project list'!$B$7:$XFD$7,REFERENCE!$A$34)</f>
        <v>0</v>
      </c>
      <c r="H57" s="263">
        <f>SUMIFS('Budget major project list'!$B25:$XFD25,'Budget major project list'!$B$5:$XFD$5,$C$43,'Budget major project list'!$B$14:$XFD$14,H$44,'Budget major project list'!$B$7:$XFD$7,REFERENCE!$A$34)</f>
        <v>0</v>
      </c>
      <c r="I57" s="264">
        <f t="shared" si="5"/>
        <v>0</v>
      </c>
      <c r="J57" s="197"/>
      <c r="K57" s="269" t="s">
        <v>28</v>
      </c>
      <c r="L57" s="251">
        <f>SUMIFS('Budget major project list'!$B25:$XFD25,'Budget major project list'!$B$5:$XFD$5,$C$43,'Budget major project list'!$B$14:$XFD$14,L$44,'Budget major project list'!$B$7:$XFD$7,REFERENCE!$A$35)</f>
        <v>0</v>
      </c>
      <c r="M57" s="88"/>
    </row>
    <row r="58" spans="1:13">
      <c r="B58" s="87"/>
      <c r="C58" s="110" t="s">
        <v>23</v>
      </c>
      <c r="D58" s="245">
        <f>SUMIFS('Budget major project list'!$B26:$XFD26,'Budget major project list'!$B$5:$XFD$5,$C$43,'Budget major project list'!$B$14:$XFD$14,D$44,'Budget major project list'!$B$7:$XFD$7,REFERENCE!$A$34)</f>
        <v>0</v>
      </c>
      <c r="E58" s="246">
        <f>SUMIFS('Budget major project list'!$B26:$XFD26,'Budget major project list'!$B$5:$XFD$5,$C$43,'Budget major project list'!$B$14:$XFD$14,E$44,'Budget major project list'!$B$7:$XFD$7,REFERENCE!$A$34)</f>
        <v>0</v>
      </c>
      <c r="F58" s="246">
        <f>SUMIFS('Budget major project list'!$B26:$XFD26,'Budget major project list'!$B$5:$XFD$5,$C$43,'Budget major project list'!$B$14:$XFD$14,F$44,'Budget major project list'!$B$7:$XFD$7,REFERENCE!$A$34)</f>
        <v>0</v>
      </c>
      <c r="G58" s="259">
        <f>SUMIFS('Budget major project list'!$B26:$XFD26,'Budget major project list'!$B$5:$XFD$5,$C$43,'Budget major project list'!$B$14:$XFD$14,G$44,'Budget major project list'!$B$7:$XFD$7,REFERENCE!$A$34)</f>
        <v>2103.9171679459723</v>
      </c>
      <c r="H58" s="260">
        <f>SUMIFS('Budget major project list'!$B26:$XFD26,'Budget major project list'!$B$5:$XFD$5,$C$43,'Budget major project list'!$B$14:$XFD$14,H$44,'Budget major project list'!$B$7:$XFD$7,REFERENCE!$A$34)</f>
        <v>0</v>
      </c>
      <c r="I58" s="261">
        <f t="shared" si="5"/>
        <v>2103.9171679459723</v>
      </c>
      <c r="J58" s="220"/>
      <c r="K58" s="110" t="s">
        <v>23</v>
      </c>
      <c r="L58" s="78">
        <f>SUMIFS('Budget major project list'!$B26:$XFD26,'Budget major project list'!$B$5:$XFD$5,$C$43,'Budget major project list'!$B$14:$XFD$14,L$44,'Budget major project list'!$B$7:$XFD$7,REFERENCE!$A$35)</f>
        <v>0</v>
      </c>
      <c r="M58" s="88"/>
    </row>
    <row r="59" spans="1:13">
      <c r="B59" s="87"/>
      <c r="C59" s="43" t="s">
        <v>32</v>
      </c>
      <c r="D59" s="245">
        <f>SUMIFS('Budget major project list'!$B27:$XFD27,'Budget major project list'!$B$5:$XFD$5,$C$43,'Budget major project list'!$B$14:$XFD$14,D$44,'Budget major project list'!$B$7:$XFD$7,REFERENCE!$A$34)</f>
        <v>0</v>
      </c>
      <c r="E59" s="246">
        <f>SUMIFS('Budget major project list'!$B27:$XFD27,'Budget major project list'!$B$5:$XFD$5,$C$43,'Budget major project list'!$B$14:$XFD$14,E$44,'Budget major project list'!$B$7:$XFD$7,REFERENCE!$A$34)</f>
        <v>0</v>
      </c>
      <c r="F59" s="246">
        <f>SUMIFS('Budget major project list'!$B27:$XFD27,'Budget major project list'!$B$5:$XFD$5,$C$43,'Budget major project list'!$B$14:$XFD$14,F$44,'Budget major project list'!$B$7:$XFD$7,REFERENCE!$A$34)</f>
        <v>0</v>
      </c>
      <c r="G59" s="259">
        <f>SUMIFS('Budget major project list'!$B27:$XFD27,'Budget major project list'!$B$5:$XFD$5,$C$43,'Budget major project list'!$B$14:$XFD$14,G$44,'Budget major project list'!$B$7:$XFD$7,REFERENCE!$A$34)</f>
        <v>45</v>
      </c>
      <c r="H59" s="260">
        <f>SUMIFS('Budget major project list'!$B27:$XFD27,'Budget major project list'!$B$5:$XFD$5,$C$43,'Budget major project list'!$B$14:$XFD$14,H$44,'Budget major project list'!$B$7:$XFD$7,REFERENCE!$A$34)</f>
        <v>0</v>
      </c>
      <c r="I59" s="261">
        <f t="shared" si="5"/>
        <v>45</v>
      </c>
      <c r="J59" s="197"/>
      <c r="K59" s="99" t="s">
        <v>32</v>
      </c>
      <c r="L59" s="78">
        <f>SUMIFS('Budget major project list'!$B27:$XFD27,'Budget major project list'!$B$5:$XFD$5,$C$43,'Budget major project list'!$B$14:$XFD$14,L$44,'Budget major project list'!$B$7:$XFD$7,REFERENCE!$A$35)</f>
        <v>0</v>
      </c>
      <c r="M59" s="88"/>
    </row>
    <row r="60" spans="1:13" ht="15.75" thickBot="1">
      <c r="B60" s="87"/>
      <c r="C60" s="44" t="s">
        <v>129</v>
      </c>
      <c r="D60" s="252">
        <f>SUMIFS('Budget major project list'!$B34:$XFD34,'Budget major project list'!$B$5:$XFD$5,$C$43,'Budget major project list'!$B$14:$XFD$14,D$44,'Budget major project list'!$B$7:$XFD$7,REFERENCE!$A$34)</f>
        <v>0</v>
      </c>
      <c r="E60" s="253">
        <f>SUMIFS('Budget major project list'!$B34:$XFD34,'Budget major project list'!$B$5:$XFD$5,$C$43,'Budget major project list'!$B$14:$XFD$14,E$44,'Budget major project list'!$B$7:$XFD$7,REFERENCE!$A$34)</f>
        <v>0</v>
      </c>
      <c r="F60" s="253">
        <f>SUMIFS('Budget major project list'!$B34:$XFD34,'Budget major project list'!$B$5:$XFD$5,$C$43,'Budget major project list'!$B$14:$XFD$14,F$44,'Budget major project list'!$B$7:$XFD$7,REFERENCE!$A$34)</f>
        <v>0</v>
      </c>
      <c r="G60" s="265">
        <f>SUMIFS('Budget major project list'!$B34:$XFD34,'Budget major project list'!$B$5:$XFD$5,$C$43,'Budget major project list'!$B$14:$XFD$14,G$44,'Budget major project list'!$B$7:$XFD$7,REFERENCE!$A$34)</f>
        <v>9346.5577714891406</v>
      </c>
      <c r="H60" s="266">
        <f>SUMIFS('Budget major project list'!$B34:$XFD34,'Budget major project list'!$B$5:$XFD$5,$C$43,'Budget major project list'!$B$14:$XFD$14,H$44,'Budget major project list'!$B$7:$XFD$7,REFERENCE!$A$34)</f>
        <v>0</v>
      </c>
      <c r="I60" s="267">
        <f>SUM(D60:H60)</f>
        <v>9346.5577714891406</v>
      </c>
      <c r="J60" s="197"/>
      <c r="K60" s="270" t="s">
        <v>129</v>
      </c>
      <c r="L60" s="255">
        <f>SUMIFS('Budget major project list'!$B34:$XFD34,'Budget major project list'!$B$5:$XFD$5,$C$43,'Budget major project list'!$B$14:$XFD$14,L$44,'Budget major project list'!$B$7:$XFD$7,REFERENCE!$A$35)</f>
        <v>0</v>
      </c>
      <c r="M60" s="88"/>
    </row>
    <row r="61" spans="1:13" ht="15.75" thickBot="1">
      <c r="B61" s="112"/>
      <c r="C61" s="103"/>
      <c r="D61" s="113"/>
      <c r="E61" s="113"/>
      <c r="F61" s="113"/>
      <c r="G61" s="113"/>
      <c r="H61" s="113"/>
      <c r="I61" s="113"/>
      <c r="J61" s="103"/>
      <c r="K61" s="113"/>
      <c r="L61" s="113"/>
      <c r="M61" s="114"/>
    </row>
    <row r="62" spans="1:13" ht="15.75" thickBot="1">
      <c r="C62" s="18"/>
    </row>
    <row r="63" spans="1:13" ht="18.75">
      <c r="B63" s="82" t="s">
        <v>149</v>
      </c>
      <c r="C63" s="85"/>
      <c r="D63" s="84"/>
      <c r="E63" s="84"/>
      <c r="F63" s="84"/>
      <c r="G63" s="84"/>
      <c r="H63" s="84"/>
      <c r="I63" s="84"/>
      <c r="J63" s="85"/>
      <c r="K63" s="115"/>
      <c r="L63" s="84"/>
      <c r="M63" s="86"/>
    </row>
    <row r="64" spans="1:13" ht="18.75">
      <c r="B64" s="87"/>
      <c r="C64" s="5" t="s">
        <v>133</v>
      </c>
      <c r="K64" s="5" t="s">
        <v>134</v>
      </c>
      <c r="M64" s="88"/>
    </row>
    <row r="65" spans="2:13" ht="19.5" thickBot="1">
      <c r="B65" s="87"/>
      <c r="C65" s="5" t="s">
        <v>150</v>
      </c>
      <c r="K65" s="5" t="s">
        <v>151</v>
      </c>
      <c r="M65" s="88"/>
    </row>
    <row r="66" spans="2:13" ht="30.75" thickBot="1">
      <c r="B66" s="87"/>
      <c r="C66" s="49" t="s">
        <v>131</v>
      </c>
      <c r="D66" s="280" t="s">
        <v>137</v>
      </c>
      <c r="E66" s="281"/>
      <c r="F66" s="281"/>
      <c r="G66" s="281"/>
      <c r="H66" s="281"/>
      <c r="I66" s="282"/>
      <c r="K66" s="49" t="s">
        <v>131</v>
      </c>
      <c r="L66" s="69" t="s">
        <v>137</v>
      </c>
      <c r="M66" s="88"/>
    </row>
    <row r="67" spans="2:13" ht="45.75" thickBot="1">
      <c r="B67" s="87"/>
      <c r="C67" s="90" t="s">
        <v>138</v>
      </c>
      <c r="D67" s="116" t="s">
        <v>123</v>
      </c>
      <c r="E67" s="92" t="s">
        <v>124</v>
      </c>
      <c r="F67" s="92" t="s">
        <v>125</v>
      </c>
      <c r="G67" s="92" t="s">
        <v>126</v>
      </c>
      <c r="H67" s="93" t="s">
        <v>127</v>
      </c>
      <c r="I67" s="94" t="s">
        <v>139</v>
      </c>
      <c r="K67" s="90" t="s">
        <v>140</v>
      </c>
      <c r="L67" s="107" t="s">
        <v>148</v>
      </c>
      <c r="M67" s="88"/>
    </row>
    <row r="68" spans="2:13">
      <c r="B68" s="87"/>
      <c r="C68" s="96" t="s">
        <v>142</v>
      </c>
      <c r="D68" s="193">
        <v>0</v>
      </c>
      <c r="E68" s="194">
        <v>0</v>
      </c>
      <c r="F68" s="194">
        <v>0</v>
      </c>
      <c r="G68" s="194">
        <v>1</v>
      </c>
      <c r="H68" s="195">
        <v>1</v>
      </c>
      <c r="I68" s="196">
        <f>SUM(D68:H68)</f>
        <v>2</v>
      </c>
      <c r="J68" s="197"/>
      <c r="K68" s="198" t="s">
        <v>142</v>
      </c>
      <c r="L68" s="199">
        <v>0</v>
      </c>
      <c r="M68" s="88"/>
    </row>
    <row r="69" spans="2:13">
      <c r="B69" s="87"/>
      <c r="C69" s="97" t="s">
        <v>143</v>
      </c>
      <c r="D69" s="200">
        <v>0</v>
      </c>
      <c r="E69" s="201">
        <v>0</v>
      </c>
      <c r="F69" s="201">
        <v>0</v>
      </c>
      <c r="G69" s="201">
        <v>43.614993551225595</v>
      </c>
      <c r="H69" s="202">
        <v>400</v>
      </c>
      <c r="I69" s="203">
        <f t="shared" ref="I69:I82" si="6">SUM(D69:H69)</f>
        <v>443.61499355122561</v>
      </c>
      <c r="J69" s="197"/>
      <c r="K69" s="204" t="s">
        <v>143</v>
      </c>
      <c r="L69" s="205">
        <v>0</v>
      </c>
      <c r="M69" s="88"/>
    </row>
    <row r="70" spans="2:13" ht="17.25" customHeight="1">
      <c r="B70" s="87"/>
      <c r="C70" s="99" t="s">
        <v>144</v>
      </c>
      <c r="D70" s="206">
        <f t="shared" ref="D70:H70" si="7">SUM(D71,D76,D74,D75,D81,D82)</f>
        <v>0</v>
      </c>
      <c r="E70" s="207">
        <f t="shared" si="7"/>
        <v>0</v>
      </c>
      <c r="F70" s="207">
        <f t="shared" si="7"/>
        <v>0</v>
      </c>
      <c r="G70" s="207">
        <f t="shared" si="7"/>
        <v>43.614993551225595</v>
      </c>
      <c r="H70" s="203">
        <f t="shared" si="7"/>
        <v>4.4000000000000004</v>
      </c>
      <c r="I70" s="203">
        <f t="shared" si="6"/>
        <v>48.014993551225594</v>
      </c>
      <c r="J70" s="197"/>
      <c r="K70" s="206" t="s">
        <v>144</v>
      </c>
      <c r="L70" s="208">
        <f t="shared" ref="L70" si="8">SUM(L71,L76,L74,L75,L81,L82)</f>
        <v>0</v>
      </c>
      <c r="M70" s="88"/>
    </row>
    <row r="71" spans="2:13">
      <c r="B71" s="87"/>
      <c r="C71" s="99" t="s">
        <v>16</v>
      </c>
      <c r="D71" s="206">
        <f>SUM(D72:D73)</f>
        <v>0</v>
      </c>
      <c r="E71" s="207">
        <f t="shared" ref="E71:H71" si="9">SUM(E72:E73)</f>
        <v>0</v>
      </c>
      <c r="F71" s="207">
        <f t="shared" si="9"/>
        <v>0</v>
      </c>
      <c r="G71" s="207">
        <f t="shared" si="9"/>
        <v>42.655463693098632</v>
      </c>
      <c r="H71" s="210">
        <f t="shared" si="9"/>
        <v>4.2240000000000002</v>
      </c>
      <c r="I71" s="203">
        <f t="shared" si="6"/>
        <v>46.879463693098629</v>
      </c>
      <c r="J71" s="197"/>
      <c r="K71" s="206" t="s">
        <v>16</v>
      </c>
      <c r="L71" s="208">
        <f>SUM(L72:L73)</f>
        <v>0</v>
      </c>
      <c r="M71" s="88"/>
    </row>
    <row r="72" spans="2:13">
      <c r="B72" s="87"/>
      <c r="C72" s="100" t="s">
        <v>17</v>
      </c>
      <c r="D72" s="211">
        <v>0</v>
      </c>
      <c r="E72" s="192">
        <v>0</v>
      </c>
      <c r="F72" s="192">
        <v>0</v>
      </c>
      <c r="G72" s="192">
        <v>42.655463693098632</v>
      </c>
      <c r="H72" s="212">
        <v>1.1440000000000001</v>
      </c>
      <c r="I72" s="203">
        <f t="shared" si="6"/>
        <v>43.79946369309863</v>
      </c>
      <c r="J72" s="197"/>
      <c r="K72" s="213" t="s">
        <v>17</v>
      </c>
      <c r="L72" s="214">
        <v>0</v>
      </c>
      <c r="M72" s="88"/>
    </row>
    <row r="73" spans="2:13">
      <c r="B73" s="87"/>
      <c r="C73" s="100" t="s">
        <v>18</v>
      </c>
      <c r="D73" s="211">
        <v>0</v>
      </c>
      <c r="E73" s="192">
        <v>0</v>
      </c>
      <c r="F73" s="192">
        <v>0</v>
      </c>
      <c r="G73" s="192">
        <v>0</v>
      </c>
      <c r="H73" s="212">
        <v>3.08</v>
      </c>
      <c r="I73" s="203">
        <f t="shared" si="6"/>
        <v>3.08</v>
      </c>
      <c r="J73" s="197"/>
      <c r="K73" s="213" t="s">
        <v>18</v>
      </c>
      <c r="L73" s="214">
        <v>0</v>
      </c>
      <c r="M73" s="88"/>
    </row>
    <row r="74" spans="2:13">
      <c r="B74" s="87"/>
      <c r="C74" s="101" t="s">
        <v>19</v>
      </c>
      <c r="D74" s="215">
        <v>0</v>
      </c>
      <c r="E74" s="216">
        <v>0</v>
      </c>
      <c r="F74" s="216">
        <v>0</v>
      </c>
      <c r="G74" s="216">
        <v>0</v>
      </c>
      <c r="H74" s="217">
        <v>0</v>
      </c>
      <c r="I74" s="203">
        <f t="shared" si="6"/>
        <v>0</v>
      </c>
      <c r="J74" s="197"/>
      <c r="K74" s="218" t="s">
        <v>19</v>
      </c>
      <c r="L74" s="219">
        <v>0</v>
      </c>
      <c r="M74" s="88"/>
    </row>
    <row r="75" spans="2:13">
      <c r="B75" s="87"/>
      <c r="C75" s="97" t="s">
        <v>20</v>
      </c>
      <c r="D75" s="200">
        <v>0</v>
      </c>
      <c r="E75" s="201">
        <v>0</v>
      </c>
      <c r="F75" s="201">
        <v>0</v>
      </c>
      <c r="G75" s="201">
        <v>0</v>
      </c>
      <c r="H75" s="202">
        <v>0</v>
      </c>
      <c r="I75" s="203">
        <f t="shared" si="6"/>
        <v>0</v>
      </c>
      <c r="J75" s="197"/>
      <c r="K75" s="204" t="s">
        <v>20</v>
      </c>
      <c r="L75" s="205">
        <v>0</v>
      </c>
      <c r="M75" s="88"/>
    </row>
    <row r="76" spans="2:13">
      <c r="B76" s="87"/>
      <c r="C76" s="99" t="s">
        <v>24</v>
      </c>
      <c r="D76" s="209">
        <f>SUM(D77:D80)</f>
        <v>0</v>
      </c>
      <c r="E76" s="207">
        <f t="shared" ref="E76:H76" si="10">SUM(E77:E80)</f>
        <v>0</v>
      </c>
      <c r="F76" s="207">
        <f t="shared" si="10"/>
        <v>0</v>
      </c>
      <c r="G76" s="207">
        <f t="shared" si="10"/>
        <v>0</v>
      </c>
      <c r="H76" s="210">
        <f t="shared" si="10"/>
        <v>0</v>
      </c>
      <c r="I76" s="203">
        <f t="shared" si="6"/>
        <v>0</v>
      </c>
      <c r="J76" s="197"/>
      <c r="K76" s="206" t="s">
        <v>24</v>
      </c>
      <c r="L76" s="208">
        <f>SUM(L77:L80)</f>
        <v>0</v>
      </c>
      <c r="M76" s="88"/>
    </row>
    <row r="77" spans="2:13">
      <c r="B77" s="87"/>
      <c r="C77" s="100" t="s">
        <v>25</v>
      </c>
      <c r="D77" s="211">
        <v>0</v>
      </c>
      <c r="E77" s="192">
        <v>0</v>
      </c>
      <c r="F77" s="192">
        <v>0</v>
      </c>
      <c r="G77" s="192">
        <v>0</v>
      </c>
      <c r="H77" s="212">
        <v>0</v>
      </c>
      <c r="I77" s="203">
        <f t="shared" si="6"/>
        <v>0</v>
      </c>
      <c r="J77" s="197"/>
      <c r="K77" s="213" t="s">
        <v>25</v>
      </c>
      <c r="L77" s="214">
        <v>0</v>
      </c>
      <c r="M77" s="88"/>
    </row>
    <row r="78" spans="2:13">
      <c r="B78" s="87"/>
      <c r="C78" s="100" t="s">
        <v>26</v>
      </c>
      <c r="D78" s="211">
        <v>0</v>
      </c>
      <c r="E78" s="192">
        <v>0</v>
      </c>
      <c r="F78" s="192">
        <v>0</v>
      </c>
      <c r="G78" s="192">
        <v>0</v>
      </c>
      <c r="H78" s="212">
        <v>0</v>
      </c>
      <c r="I78" s="203">
        <f t="shared" si="6"/>
        <v>0</v>
      </c>
      <c r="J78" s="197"/>
      <c r="K78" s="213" t="s">
        <v>26</v>
      </c>
      <c r="L78" s="214">
        <v>0</v>
      </c>
      <c r="M78" s="88"/>
    </row>
    <row r="79" spans="2:13">
      <c r="B79" s="87"/>
      <c r="C79" s="100" t="s">
        <v>27</v>
      </c>
      <c r="D79" s="211">
        <v>0</v>
      </c>
      <c r="E79" s="192">
        <v>0</v>
      </c>
      <c r="F79" s="192">
        <v>0</v>
      </c>
      <c r="G79" s="192">
        <v>0</v>
      </c>
      <c r="H79" s="212">
        <v>0</v>
      </c>
      <c r="I79" s="203">
        <f t="shared" si="6"/>
        <v>0</v>
      </c>
      <c r="J79" s="197"/>
      <c r="K79" s="213" t="s">
        <v>27</v>
      </c>
      <c r="L79" s="214">
        <v>0</v>
      </c>
      <c r="M79" s="88"/>
    </row>
    <row r="80" spans="2:13">
      <c r="B80" s="87"/>
      <c r="C80" s="100" t="s">
        <v>28</v>
      </c>
      <c r="D80" s="211">
        <v>0</v>
      </c>
      <c r="E80" s="192">
        <v>0</v>
      </c>
      <c r="F80" s="192">
        <v>0</v>
      </c>
      <c r="G80" s="192">
        <v>0</v>
      </c>
      <c r="H80" s="212">
        <v>0</v>
      </c>
      <c r="I80" s="203">
        <f t="shared" si="6"/>
        <v>0</v>
      </c>
      <c r="J80" s="197"/>
      <c r="K80" s="213" t="s">
        <v>28</v>
      </c>
      <c r="L80" s="214">
        <v>0</v>
      </c>
      <c r="M80" s="88"/>
    </row>
    <row r="81" spans="1:13">
      <c r="B81" s="87"/>
      <c r="C81" s="101" t="s">
        <v>23</v>
      </c>
      <c r="D81" s="215">
        <v>0</v>
      </c>
      <c r="E81" s="216">
        <v>0</v>
      </c>
      <c r="F81" s="216">
        <v>0</v>
      </c>
      <c r="G81" s="216">
        <v>0.95952985812696301</v>
      </c>
      <c r="H81" s="217">
        <v>0.17600000000000002</v>
      </c>
      <c r="I81" s="203">
        <f t="shared" si="6"/>
        <v>1.1355298581269631</v>
      </c>
      <c r="J81" s="220"/>
      <c r="K81" s="221" t="s">
        <v>23</v>
      </c>
      <c r="L81" s="219">
        <v>0</v>
      </c>
      <c r="M81" s="88"/>
    </row>
    <row r="82" spans="1:13">
      <c r="B82" s="87"/>
      <c r="C82" s="97" t="s">
        <v>32</v>
      </c>
      <c r="D82" s="200">
        <v>0</v>
      </c>
      <c r="E82" s="216">
        <v>0</v>
      </c>
      <c r="F82" s="216">
        <v>0</v>
      </c>
      <c r="G82" s="216">
        <v>0</v>
      </c>
      <c r="H82" s="217">
        <v>0</v>
      </c>
      <c r="I82" s="203">
        <f t="shared" si="6"/>
        <v>0</v>
      </c>
      <c r="J82" s="197"/>
      <c r="K82" s="204" t="s">
        <v>32</v>
      </c>
      <c r="L82" s="219">
        <v>0</v>
      </c>
      <c r="M82" s="88"/>
    </row>
    <row r="83" spans="1:13" ht="15.75" thickBot="1">
      <c r="B83" s="87"/>
      <c r="C83" s="102" t="s">
        <v>129</v>
      </c>
      <c r="D83" s="222">
        <v>0</v>
      </c>
      <c r="E83" s="223">
        <v>0</v>
      </c>
      <c r="F83" s="224">
        <v>0</v>
      </c>
      <c r="G83" s="224">
        <v>0</v>
      </c>
      <c r="H83" s="225">
        <v>0</v>
      </c>
      <c r="I83" s="226">
        <f>SUM(D83:H83)</f>
        <v>0</v>
      </c>
      <c r="J83" s="197"/>
      <c r="K83" s="227" t="s">
        <v>129</v>
      </c>
      <c r="L83" s="228">
        <v>0</v>
      </c>
      <c r="M83" s="88"/>
    </row>
    <row r="84" spans="1:13">
      <c r="B84" s="87"/>
      <c r="J84" s="18"/>
      <c r="M84" s="88"/>
    </row>
    <row r="85" spans="1:13" ht="15.75" thickBot="1">
      <c r="B85" s="87"/>
      <c r="C85" s="4" t="s">
        <v>145</v>
      </c>
      <c r="J85" s="18"/>
      <c r="M85" s="88"/>
    </row>
    <row r="86" spans="1:13" ht="14.85" customHeight="1" thickBot="1">
      <c r="B86" s="87"/>
      <c r="C86" s="49" t="s">
        <v>131</v>
      </c>
      <c r="D86" s="280" t="s">
        <v>137</v>
      </c>
      <c r="E86" s="281"/>
      <c r="F86" s="281"/>
      <c r="G86" s="281"/>
      <c r="H86" s="281"/>
      <c r="I86" s="282"/>
      <c r="K86" s="49" t="s">
        <v>131</v>
      </c>
      <c r="L86" s="69" t="s">
        <v>137</v>
      </c>
      <c r="M86" s="88"/>
    </row>
    <row r="87" spans="1:13" ht="45.75" thickBot="1">
      <c r="B87" s="87"/>
      <c r="C87" s="117" t="s">
        <v>146</v>
      </c>
      <c r="D87" s="91" t="s">
        <v>123</v>
      </c>
      <c r="E87" s="92" t="s">
        <v>124</v>
      </c>
      <c r="F87" s="92" t="s">
        <v>125</v>
      </c>
      <c r="G87" s="92" t="s">
        <v>126</v>
      </c>
      <c r="H87" s="93" t="s">
        <v>127</v>
      </c>
      <c r="I87" s="94" t="s">
        <v>139</v>
      </c>
      <c r="J87" s="10"/>
      <c r="K87" s="117" t="s">
        <v>147</v>
      </c>
      <c r="L87" s="107" t="s">
        <v>148</v>
      </c>
      <c r="M87" s="88"/>
    </row>
    <row r="88" spans="1:13">
      <c r="B88" s="87"/>
      <c r="C88" s="75" t="s">
        <v>142</v>
      </c>
      <c r="D88" s="271">
        <f>COUNTIFS('Budget major project list'!$B$5:$XFD$5,'Summary project budget'!$C$86,'Budget major project list'!$B$14:$XFD$14,'Summary project budget'!D$87,'Budget major project list'!$B$7:$XFD$7,REFERENCE!$A$34)</f>
        <v>0</v>
      </c>
      <c r="E88" s="242">
        <f>COUNTIFS('Budget major project list'!$B$5:$XFD$5,'Summary project budget'!$C$86,'Budget major project list'!$B$14:$XFD$14,'Summary project budget'!E$87,'Budget major project list'!$B$7:$XFD$7,REFERENCE!$A$34)</f>
        <v>0</v>
      </c>
      <c r="F88" s="242">
        <f>COUNTIFS('Budget major project list'!$B$5:$XFD$5,'Summary project budget'!$C$86,'Budget major project list'!$B$14:$XFD$14,'Summary project budget'!F$87,'Budget major project list'!$B$7:$XFD$7,REFERENCE!$A$34)</f>
        <v>0</v>
      </c>
      <c r="G88" s="242">
        <f>COUNTIFS('Budget major project list'!$B$5:$XFD$5,'Summary project budget'!$C$86,'Budget major project list'!$B$14:$XFD$14,'Summary project budget'!G$87,'Budget major project list'!$B$7:$XFD$7,REFERENCE!$A$34)</f>
        <v>0</v>
      </c>
      <c r="H88" s="243">
        <f>COUNTIFS('Budget major project list'!$B$5:$XFD$5,'Summary project budget'!$C$86,'Budget major project list'!$B$14:$XFD$14,'Summary project budget'!H$87,'Budget major project list'!$B$7:$XFD$7,REFERENCE!$A$34)</f>
        <v>0</v>
      </c>
      <c r="I88" s="244">
        <f>SUM(D88:H88)</f>
        <v>0</v>
      </c>
      <c r="J88" s="197"/>
      <c r="K88" s="268" t="s">
        <v>142</v>
      </c>
      <c r="L88" s="244">
        <f>COUNTIFS('Budget major project list'!$B$5:$XFD$5,'Summary project budget'!$C$86,'Budget major project list'!$B$14:$XFD$14,'Summary project budget'!L$87,'Budget major project list'!$B$7:$XFD$7,REFERENCE!$A$34)</f>
        <v>0</v>
      </c>
      <c r="M88" s="88"/>
    </row>
    <row r="89" spans="1:13" s="10" customFormat="1">
      <c r="A89" s="4"/>
      <c r="B89" s="87"/>
      <c r="C89" s="43" t="s">
        <v>143</v>
      </c>
      <c r="D89" s="245">
        <f>SUMIFS('Budget major project list'!$B$10:$XFD$10,'Budget major project list'!$B$5:$XFD$5,'Summary project budget'!$C$86,'Budget major project list'!$B$14:$XFD$14,'Summary project budget'!D$87,'Budget major project list'!$B$7:$XFD$7,REFERENCE!$A$34)</f>
        <v>0</v>
      </c>
      <c r="E89" s="246">
        <f>SUMIFS('Budget major project list'!$B$10:$XFD$10,'Budget major project list'!$B$5:$XFD$5,'Summary project budget'!$C$86,'Budget major project list'!$B$14:$XFD$14,'Summary project budget'!E$87,'Budget major project list'!$B$7:$XFD$7,REFERENCE!$A$34)</f>
        <v>0</v>
      </c>
      <c r="F89" s="246">
        <f>SUMIFS('Budget major project list'!$B$10:$XFD$10,'Budget major project list'!$B$5:$XFD$5,'Summary project budget'!$C$86,'Budget major project list'!$B$14:$XFD$14,'Summary project budget'!F$87,'Budget major project list'!$B$7:$XFD$7,REFERENCE!$A$34)</f>
        <v>0</v>
      </c>
      <c r="G89" s="246">
        <f>SUMIFS('Budget major project list'!$B$10:$XFD$10,'Budget major project list'!$B$5:$XFD$5,'Summary project budget'!$C$86,'Budget major project list'!$B$14:$XFD$14,'Summary project budget'!G$87,'Budget major project list'!$B$7:$XFD$7,REFERENCE!$A$34)</f>
        <v>0</v>
      </c>
      <c r="H89" s="247">
        <f>SUMIFS('Budget major project list'!$B$10:$XFD$10,'Budget major project list'!$B$5:$XFD$5,'Summary project budget'!$C$86,'Budget major project list'!$B$14:$XFD$14,'Summary project budget'!H$87,'Budget major project list'!$B$7:$XFD$7,REFERENCE!$A$34)</f>
        <v>0</v>
      </c>
      <c r="I89" s="78">
        <f t="shared" ref="I89:I102" si="11">SUM(D89:H89)</f>
        <v>0</v>
      </c>
      <c r="J89" s="197"/>
      <c r="K89" s="99" t="s">
        <v>143</v>
      </c>
      <c r="L89" s="78">
        <f>SUMIFS('Budget major project list'!$B$10:$XFD$10,'Budget major project list'!$B$5:$XFD$5,'Summary project budget'!$C$86,'Budget major project list'!$B$14:$XFD$14,'Summary project budget'!L$87,'Budget major project list'!$B$7:$XFD$7,REFERENCE!$A$34)</f>
        <v>0</v>
      </c>
      <c r="M89" s="108"/>
    </row>
    <row r="90" spans="1:13" ht="20.25" customHeight="1">
      <c r="B90" s="87"/>
      <c r="C90" s="43" t="s">
        <v>144</v>
      </c>
      <c r="D90" s="245">
        <f>SUMIFS('Budget major project list'!$B$15:$XFD$15,'Budget major project list'!$B$5:$XFD$5,$C$86,'Budget major project list'!$B$14:$XFD$14,D$87,'Budget major project list'!$B$7:$XFD$7,REFERENCE!$A$34)</f>
        <v>0</v>
      </c>
      <c r="E90" s="246">
        <f>SUMIFS('Budget major project list'!$B$15:$XFD$15,'Budget major project list'!$B$5:$XFD$5,$C$86,'Budget major project list'!$B$14:$XFD$14,E$87,'Budget major project list'!$B$7:$XFD$7,REFERENCE!$A$34)</f>
        <v>0</v>
      </c>
      <c r="F90" s="246">
        <f>SUMIFS('Budget major project list'!$B$15:$XFD$15,'Budget major project list'!$B$5:$XFD$5,$C$86,'Budget major project list'!$B$14:$XFD$14,F$87,'Budget major project list'!$B$7:$XFD$7,REFERENCE!$A$34)</f>
        <v>0</v>
      </c>
      <c r="G90" s="246">
        <f>SUMIFS('Budget major project list'!$B$15:$XFD$15,'Budget major project list'!$B$5:$XFD$5,$C$86,'Budget major project list'!$B$14:$XFD$14,G$87,'Budget major project list'!$B$7:$XFD$7,REFERENCE!$A$34)</f>
        <v>0</v>
      </c>
      <c r="H90" s="247">
        <f>SUMIFS('Budget major project list'!$B$15:$XFD$15,'Budget major project list'!$B$5:$XFD$5,$C$86,'Budget major project list'!$B$14:$XFD$14,H$87,'Budget major project list'!$B$7:$XFD$7,REFERENCE!$A$34)</f>
        <v>0</v>
      </c>
      <c r="I90" s="78">
        <f t="shared" si="11"/>
        <v>0</v>
      </c>
      <c r="J90" s="197"/>
      <c r="K90" s="99" t="s">
        <v>144</v>
      </c>
      <c r="L90" s="78">
        <f>SUMIFS('Budget major project list'!$B$15:$XFD$15,'Budget major project list'!$B$5:$XFD$5,$C$86,'Budget major project list'!$B$14:$XFD$14,L$87,'Budget major project list'!$B$7:$XFD$7,REFERENCE!$A$34)</f>
        <v>0</v>
      </c>
      <c r="M90" s="88"/>
    </row>
    <row r="91" spans="1:13">
      <c r="B91" s="87"/>
      <c r="C91" s="78" t="s">
        <v>16</v>
      </c>
      <c r="D91" s="245">
        <f>SUMIFS('Budget major project list'!$B16:$XFD16,'Budget major project list'!$B$5:$XFD$5,$C$86,'Budget major project list'!$B$14:$XFD$14,D$87,'Budget major project list'!$B$7:$XFD$7,REFERENCE!$A$34)</f>
        <v>0</v>
      </c>
      <c r="E91" s="246">
        <f>SUMIFS('Budget major project list'!$B16:$XFD16,'Budget major project list'!$B$5:$XFD$5,$C$86,'Budget major project list'!$B$14:$XFD$14,E$87,'Budget major project list'!$B$7:$XFD$7,REFERENCE!$A$34)</f>
        <v>0</v>
      </c>
      <c r="F91" s="246">
        <f>SUMIFS('Budget major project list'!$B16:$XFD16,'Budget major project list'!$B$5:$XFD$5,$C$86,'Budget major project list'!$B$14:$XFD$14,F$87,'Budget major project list'!$B$7:$XFD$7,REFERENCE!$A$34)</f>
        <v>0</v>
      </c>
      <c r="G91" s="246">
        <f>SUMIFS('Budget major project list'!$B16:$XFD16,'Budget major project list'!$B$5:$XFD$5,$C$86,'Budget major project list'!$B$14:$XFD$14,G$87,'Budget major project list'!$B$7:$XFD$7,REFERENCE!$A$34)</f>
        <v>0</v>
      </c>
      <c r="H91" s="247">
        <f>SUMIFS('Budget major project list'!$B16:$XFD16,'Budget major project list'!$B$5:$XFD$5,$C$86,'Budget major project list'!$B$14:$XFD$14,H$87,'Budget major project list'!$B$7:$XFD$7,REFERENCE!$A$34)</f>
        <v>0</v>
      </c>
      <c r="I91" s="78">
        <f t="shared" si="11"/>
        <v>0</v>
      </c>
      <c r="J91" s="197"/>
      <c r="K91" s="77" t="s">
        <v>16</v>
      </c>
      <c r="L91" s="78">
        <f>SUMIFS('Budget major project list'!$B16:$XFD16,'Budget major project list'!$B$5:$XFD$5,$C$86,'Budget major project list'!$B$14:$XFD$14,L$87,'Budget major project list'!$B$7:$XFD$7,REFERENCE!$A$34)</f>
        <v>0</v>
      </c>
      <c r="M91" s="88"/>
    </row>
    <row r="92" spans="1:13">
      <c r="B92" s="87"/>
      <c r="C92" s="109" t="s">
        <v>17</v>
      </c>
      <c r="D92" s="248">
        <f>SUMIFS('Budget major project list'!$B17:$XFD17,'Budget major project list'!$B$5:$XFD$5,$C$86,'Budget major project list'!$B$14:$XFD$14,D$87,'Budget major project list'!$B$7:$XFD$7,REFERENCE!$A$34)</f>
        <v>0</v>
      </c>
      <c r="E92" s="249">
        <f>SUMIFS('Budget major project list'!$B17:$XFD17,'Budget major project list'!$B$5:$XFD$5,$C$86,'Budget major project list'!$B$14:$XFD$14,E$87,'Budget major project list'!$B$7:$XFD$7,REFERENCE!$A$34)</f>
        <v>0</v>
      </c>
      <c r="F92" s="249">
        <f>SUMIFS('Budget major project list'!$B17:$XFD17,'Budget major project list'!$B$5:$XFD$5,$C$86,'Budget major project list'!$B$14:$XFD$14,F$87,'Budget major project list'!$B$7:$XFD$7,REFERENCE!$A$34)</f>
        <v>0</v>
      </c>
      <c r="G92" s="249">
        <f>SUMIFS('Budget major project list'!$B17:$XFD17,'Budget major project list'!$B$5:$XFD$5,$C$86,'Budget major project list'!$B$14:$XFD$14,G$87,'Budget major project list'!$B$7:$XFD$7,REFERENCE!$A$34)</f>
        <v>0</v>
      </c>
      <c r="H92" s="250">
        <f>SUMIFS('Budget major project list'!$B17:$XFD17,'Budget major project list'!$B$5:$XFD$5,$C$86,'Budget major project list'!$B$14:$XFD$14,H$87,'Budget major project list'!$B$7:$XFD$7,REFERENCE!$A$34)</f>
        <v>0</v>
      </c>
      <c r="I92" s="251">
        <f t="shared" si="11"/>
        <v>0</v>
      </c>
      <c r="J92" s="197"/>
      <c r="K92" s="269" t="s">
        <v>17</v>
      </c>
      <c r="L92" s="251">
        <f>SUMIFS('Budget major project list'!$B17:$XFD17,'Budget major project list'!$B$5:$XFD$5,$C$86,'Budget major project list'!$B$14:$XFD$14,L$87,'Budget major project list'!$B$7:$XFD$7,REFERENCE!$A$34)</f>
        <v>0</v>
      </c>
      <c r="M92" s="88"/>
    </row>
    <row r="93" spans="1:13">
      <c r="B93" s="87"/>
      <c r="C93" s="109" t="s">
        <v>18</v>
      </c>
      <c r="D93" s="248">
        <f>SUMIFS('Budget major project list'!$B18:$XFD18,'Budget major project list'!$B$5:$XFD$5,$C$86,'Budget major project list'!$B$14:$XFD$14,D$87,'Budget major project list'!$B$7:$XFD$7,REFERENCE!$A$34)</f>
        <v>0</v>
      </c>
      <c r="E93" s="249">
        <f>SUMIFS('Budget major project list'!$B18:$XFD18,'Budget major project list'!$B$5:$XFD$5,$C$86,'Budget major project list'!$B$14:$XFD$14,E$87,'Budget major project list'!$B$7:$XFD$7,REFERENCE!$A$34)</f>
        <v>0</v>
      </c>
      <c r="F93" s="249">
        <f>SUMIFS('Budget major project list'!$B18:$XFD18,'Budget major project list'!$B$5:$XFD$5,$C$86,'Budget major project list'!$B$14:$XFD$14,F$87,'Budget major project list'!$B$7:$XFD$7,REFERENCE!$A$34)</f>
        <v>0</v>
      </c>
      <c r="G93" s="249">
        <f>SUMIFS('Budget major project list'!$B18:$XFD18,'Budget major project list'!$B$5:$XFD$5,$C$86,'Budget major project list'!$B$14:$XFD$14,G$87,'Budget major project list'!$B$7:$XFD$7,REFERENCE!$A$34)</f>
        <v>0</v>
      </c>
      <c r="H93" s="250">
        <f>SUMIFS('Budget major project list'!$B18:$XFD18,'Budget major project list'!$B$5:$XFD$5,$C$86,'Budget major project list'!$B$14:$XFD$14,H$87,'Budget major project list'!$B$7:$XFD$7,REFERENCE!$A$34)</f>
        <v>0</v>
      </c>
      <c r="I93" s="251">
        <f t="shared" si="11"/>
        <v>0</v>
      </c>
      <c r="J93" s="197"/>
      <c r="K93" s="269" t="s">
        <v>18</v>
      </c>
      <c r="L93" s="251">
        <f>SUMIFS('Budget major project list'!$B18:$XFD18,'Budget major project list'!$B$5:$XFD$5,$C$86,'Budget major project list'!$B$14:$XFD$14,L$87,'Budget major project list'!$B$7:$XFD$7,REFERENCE!$A$34)</f>
        <v>0</v>
      </c>
      <c r="M93" s="88"/>
    </row>
    <row r="94" spans="1:13">
      <c r="A94" s="11"/>
      <c r="B94" s="76"/>
      <c r="C94" s="37" t="s">
        <v>19</v>
      </c>
      <c r="D94" s="245">
        <f>SUMIFS('Budget major project list'!$B19:$XFD19,'Budget major project list'!$B$5:$XFD$5,$C$86,'Budget major project list'!$B$14:$XFD$14,D$87,'Budget major project list'!$B$7:$XFD$7,REFERENCE!$A$34)</f>
        <v>0</v>
      </c>
      <c r="E94" s="246">
        <f>SUMIFS('Budget major project list'!$B19:$XFD19,'Budget major project list'!$B$5:$XFD$5,$C$86,'Budget major project list'!$B$14:$XFD$14,E$87,'Budget major project list'!$B$7:$XFD$7,REFERENCE!$A$34)</f>
        <v>0</v>
      </c>
      <c r="F94" s="246">
        <f>SUMIFS('Budget major project list'!$B19:$XFD19,'Budget major project list'!$B$5:$XFD$5,$C$86,'Budget major project list'!$B$14:$XFD$14,F$87,'Budget major project list'!$B$7:$XFD$7,REFERENCE!$A$34)</f>
        <v>0</v>
      </c>
      <c r="G94" s="246">
        <f>SUMIFS('Budget major project list'!$B19:$XFD19,'Budget major project list'!$B$5:$XFD$5,$C$86,'Budget major project list'!$B$14:$XFD$14,G$87,'Budget major project list'!$B$7:$XFD$7,REFERENCE!$A$34)</f>
        <v>0</v>
      </c>
      <c r="H94" s="247">
        <f>SUMIFS('Budget major project list'!$B19:$XFD19,'Budget major project list'!$B$5:$XFD$5,$C$86,'Budget major project list'!$B$14:$XFD$14,H$87,'Budget major project list'!$B$7:$XFD$7,REFERENCE!$A$34)</f>
        <v>0</v>
      </c>
      <c r="I94" s="78">
        <f t="shared" si="11"/>
        <v>0</v>
      </c>
      <c r="J94" s="197"/>
      <c r="K94" s="110" t="s">
        <v>19</v>
      </c>
      <c r="L94" s="78">
        <f>SUMIFS('Budget major project list'!$B19:$XFD19,'Budget major project list'!$B$5:$XFD$5,$C$86,'Budget major project list'!$B$14:$XFD$14,L$87,'Budget major project list'!$B$7:$XFD$7,REFERENCE!$A$34)</f>
        <v>0</v>
      </c>
      <c r="M94" s="88"/>
    </row>
    <row r="95" spans="1:13" s="11" customFormat="1">
      <c r="A95" s="4"/>
      <c r="B95" s="87"/>
      <c r="C95" s="37" t="s">
        <v>20</v>
      </c>
      <c r="D95" s="245">
        <f>SUMIFS('Budget major project list'!$B20:$XFD20,'Budget major project list'!$B$5:$XFD$5,$C$86,'Budget major project list'!$B$14:$XFD$14,D$87,'Budget major project list'!$B$7:$XFD$7,REFERENCE!$A$34)</f>
        <v>0</v>
      </c>
      <c r="E95" s="246">
        <f>SUMIFS('Budget major project list'!$B20:$XFD20,'Budget major project list'!$B$5:$XFD$5,$C$86,'Budget major project list'!$B$14:$XFD$14,E$87,'Budget major project list'!$B$7:$XFD$7,REFERENCE!$A$34)</f>
        <v>0</v>
      </c>
      <c r="F95" s="246">
        <f>SUMIFS('Budget major project list'!$B20:$XFD20,'Budget major project list'!$B$5:$XFD$5,$C$86,'Budget major project list'!$B$14:$XFD$14,F$87,'Budget major project list'!$B$7:$XFD$7,REFERENCE!$A$34)</f>
        <v>0</v>
      </c>
      <c r="G95" s="246">
        <f>SUMIFS('Budget major project list'!$B20:$XFD20,'Budget major project list'!$B$5:$XFD$5,$C$86,'Budget major project list'!$B$14:$XFD$14,G$87,'Budget major project list'!$B$7:$XFD$7,REFERENCE!$A$34)</f>
        <v>0</v>
      </c>
      <c r="H95" s="247">
        <f>SUMIFS('Budget major project list'!$B20:$XFD20,'Budget major project list'!$B$5:$XFD$5,$C$86,'Budget major project list'!$B$14:$XFD$14,H$87,'Budget major project list'!$B$7:$XFD$7,REFERENCE!$A$34)</f>
        <v>0</v>
      </c>
      <c r="I95" s="78">
        <f t="shared" si="11"/>
        <v>0</v>
      </c>
      <c r="J95" s="197"/>
      <c r="K95" s="110" t="s">
        <v>20</v>
      </c>
      <c r="L95" s="78">
        <f>SUMIFS('Budget major project list'!$B20:$XFD20,'Budget major project list'!$B$5:$XFD$5,$C$86,'Budget major project list'!$B$14:$XFD$14,L$87,'Budget major project list'!$B$7:$XFD$7,REFERENCE!$A$34)</f>
        <v>0</v>
      </c>
      <c r="M95" s="111"/>
    </row>
    <row r="96" spans="1:13">
      <c r="B96" s="87"/>
      <c r="C96" s="37" t="s">
        <v>24</v>
      </c>
      <c r="D96" s="245">
        <f>SUMIFS('Budget major project list'!$B21:$XFD21,'Budget major project list'!$B$5:$XFD$5,$C$86,'Budget major project list'!$B$14:$XFD$14,D$87,'Budget major project list'!$B$7:$XFD$7,REFERENCE!$A$34)</f>
        <v>0</v>
      </c>
      <c r="E96" s="246">
        <f>SUMIFS('Budget major project list'!$B21:$XFD21,'Budget major project list'!$B$5:$XFD$5,$C$86,'Budget major project list'!$B$14:$XFD$14,E$87,'Budget major project list'!$B$7:$XFD$7,REFERENCE!$A$34)</f>
        <v>0</v>
      </c>
      <c r="F96" s="246">
        <f>SUMIFS('Budget major project list'!$B21:$XFD21,'Budget major project list'!$B$5:$XFD$5,$C$86,'Budget major project list'!$B$14:$XFD$14,F$87,'Budget major project list'!$B$7:$XFD$7,REFERENCE!$A$34)</f>
        <v>0</v>
      </c>
      <c r="G96" s="246">
        <f>SUMIFS('Budget major project list'!$B21:$XFD21,'Budget major project list'!$B$5:$XFD$5,$C$86,'Budget major project list'!$B$14:$XFD$14,G$87,'Budget major project list'!$B$7:$XFD$7,REFERENCE!$A$34)</f>
        <v>0</v>
      </c>
      <c r="H96" s="247">
        <f>SUMIFS('Budget major project list'!$B21:$XFD21,'Budget major project list'!$B$5:$XFD$5,$C$86,'Budget major project list'!$B$14:$XFD$14,H$87,'Budget major project list'!$B$7:$XFD$7,REFERENCE!$A$34)</f>
        <v>0</v>
      </c>
      <c r="I96" s="78">
        <f t="shared" si="11"/>
        <v>0</v>
      </c>
      <c r="J96" s="197"/>
      <c r="K96" s="110" t="s">
        <v>24</v>
      </c>
      <c r="L96" s="78">
        <f>SUMIFS('Budget major project list'!$B21:$XFD21,'Budget major project list'!$B$5:$XFD$5,$C$86,'Budget major project list'!$B$14:$XFD$14,L$87,'Budget major project list'!$B$7:$XFD$7,REFERENCE!$A$34)</f>
        <v>0</v>
      </c>
      <c r="M96" s="88"/>
    </row>
    <row r="97" spans="2:13">
      <c r="B97" s="87"/>
      <c r="C97" s="109" t="s">
        <v>25</v>
      </c>
      <c r="D97" s="248">
        <f>SUMIFS('Budget major project list'!$B22:$XFD22,'Budget major project list'!$B$5:$XFD$5,$C$86,'Budget major project list'!$B$14:$XFD$14,D$87,'Budget major project list'!$B$7:$XFD$7,REFERENCE!$A$34)</f>
        <v>0</v>
      </c>
      <c r="E97" s="249">
        <f>SUMIFS('Budget major project list'!$B22:$XFD22,'Budget major project list'!$B$5:$XFD$5,$C$86,'Budget major project list'!$B$14:$XFD$14,E$87,'Budget major project list'!$B$7:$XFD$7,REFERENCE!$A$34)</f>
        <v>0</v>
      </c>
      <c r="F97" s="249">
        <f>SUMIFS('Budget major project list'!$B22:$XFD22,'Budget major project list'!$B$5:$XFD$5,$C$86,'Budget major project list'!$B$14:$XFD$14,F$87,'Budget major project list'!$B$7:$XFD$7,REFERENCE!$A$34)</f>
        <v>0</v>
      </c>
      <c r="G97" s="249">
        <f>SUMIFS('Budget major project list'!$B22:$XFD22,'Budget major project list'!$B$5:$XFD$5,$C$86,'Budget major project list'!$B$14:$XFD$14,G$87,'Budget major project list'!$B$7:$XFD$7,REFERENCE!$A$34)</f>
        <v>0</v>
      </c>
      <c r="H97" s="250">
        <f>SUMIFS('Budget major project list'!$B22:$XFD22,'Budget major project list'!$B$5:$XFD$5,$C$86,'Budget major project list'!$B$14:$XFD$14,H$87,'Budget major project list'!$B$7:$XFD$7,REFERENCE!$A$34)</f>
        <v>0</v>
      </c>
      <c r="I97" s="251">
        <f t="shared" si="11"/>
        <v>0</v>
      </c>
      <c r="J97" s="197"/>
      <c r="K97" s="269" t="s">
        <v>25</v>
      </c>
      <c r="L97" s="251">
        <f>SUMIFS('Budget major project list'!$B22:$XFD22,'Budget major project list'!$B$5:$XFD$5,$C$86,'Budget major project list'!$B$14:$XFD$14,L$87,'Budget major project list'!$B$7:$XFD$7,REFERENCE!$A$34)</f>
        <v>0</v>
      </c>
      <c r="M97" s="88"/>
    </row>
    <row r="98" spans="2:13">
      <c r="B98" s="87"/>
      <c r="C98" s="109" t="s">
        <v>26</v>
      </c>
      <c r="D98" s="248">
        <f>SUMIFS('Budget major project list'!$B23:$XFD23,'Budget major project list'!$B$5:$XFD$5,$C$86,'Budget major project list'!$B$14:$XFD$14,D$87,'Budget major project list'!$B$7:$XFD$7,REFERENCE!$A$34)</f>
        <v>0</v>
      </c>
      <c r="E98" s="249">
        <f>SUMIFS('Budget major project list'!$B23:$XFD23,'Budget major project list'!$B$5:$XFD$5,$C$86,'Budget major project list'!$B$14:$XFD$14,E$87,'Budget major project list'!$B$7:$XFD$7,REFERENCE!$A$34)</f>
        <v>0</v>
      </c>
      <c r="F98" s="249">
        <f>SUMIFS('Budget major project list'!$B23:$XFD23,'Budget major project list'!$B$5:$XFD$5,$C$86,'Budget major project list'!$B$14:$XFD$14,F$87,'Budget major project list'!$B$7:$XFD$7,REFERENCE!$A$34)</f>
        <v>0</v>
      </c>
      <c r="G98" s="249">
        <f>SUMIFS('Budget major project list'!$B23:$XFD23,'Budget major project list'!$B$5:$XFD$5,$C$86,'Budget major project list'!$B$14:$XFD$14,G$87,'Budget major project list'!$B$7:$XFD$7,REFERENCE!$A$34)</f>
        <v>0</v>
      </c>
      <c r="H98" s="250">
        <f>SUMIFS('Budget major project list'!$B23:$XFD23,'Budget major project list'!$B$5:$XFD$5,$C$86,'Budget major project list'!$B$14:$XFD$14,H$87,'Budget major project list'!$B$7:$XFD$7,REFERENCE!$A$34)</f>
        <v>0</v>
      </c>
      <c r="I98" s="251">
        <f t="shared" si="11"/>
        <v>0</v>
      </c>
      <c r="J98" s="197"/>
      <c r="K98" s="269" t="s">
        <v>26</v>
      </c>
      <c r="L98" s="251">
        <f>SUMIFS('Budget major project list'!$B23:$XFD23,'Budget major project list'!$B$5:$XFD$5,$C$86,'Budget major project list'!$B$14:$XFD$14,L$87,'Budget major project list'!$B$7:$XFD$7,REFERENCE!$A$34)</f>
        <v>0</v>
      </c>
      <c r="M98" s="88"/>
    </row>
    <row r="99" spans="2:13">
      <c r="B99" s="87"/>
      <c r="C99" s="109" t="s">
        <v>27</v>
      </c>
      <c r="D99" s="248">
        <f>SUMIFS('Budget major project list'!$B24:$XFD24,'Budget major project list'!$B$5:$XFD$5,$C$86,'Budget major project list'!$B$14:$XFD$14,D$87,'Budget major project list'!$B$7:$XFD$7,REFERENCE!$A$34)</f>
        <v>0</v>
      </c>
      <c r="E99" s="249">
        <f>SUMIFS('Budget major project list'!$B24:$XFD24,'Budget major project list'!$B$5:$XFD$5,$C$86,'Budget major project list'!$B$14:$XFD$14,E$87,'Budget major project list'!$B$7:$XFD$7,REFERENCE!$A$34)</f>
        <v>0</v>
      </c>
      <c r="F99" s="249">
        <f>SUMIFS('Budget major project list'!$B24:$XFD24,'Budget major project list'!$B$5:$XFD$5,$C$86,'Budget major project list'!$B$14:$XFD$14,F$87,'Budget major project list'!$B$7:$XFD$7,REFERENCE!$A$34)</f>
        <v>0</v>
      </c>
      <c r="G99" s="249">
        <f>SUMIFS('Budget major project list'!$B24:$XFD24,'Budget major project list'!$B$5:$XFD$5,$C$86,'Budget major project list'!$B$14:$XFD$14,G$87,'Budget major project list'!$B$7:$XFD$7,REFERENCE!$A$34)</f>
        <v>0</v>
      </c>
      <c r="H99" s="250">
        <f>SUMIFS('Budget major project list'!$B24:$XFD24,'Budget major project list'!$B$5:$XFD$5,$C$86,'Budget major project list'!$B$14:$XFD$14,H$87,'Budget major project list'!$B$7:$XFD$7,REFERENCE!$A$34)</f>
        <v>0</v>
      </c>
      <c r="I99" s="251">
        <f t="shared" si="11"/>
        <v>0</v>
      </c>
      <c r="J99" s="197"/>
      <c r="K99" s="269" t="s">
        <v>27</v>
      </c>
      <c r="L99" s="251">
        <f>SUMIFS('Budget major project list'!$B24:$XFD24,'Budget major project list'!$B$5:$XFD$5,$C$86,'Budget major project list'!$B$14:$XFD$14,L$87,'Budget major project list'!$B$7:$XFD$7,REFERENCE!$A$34)</f>
        <v>0</v>
      </c>
      <c r="M99" s="88"/>
    </row>
    <row r="100" spans="2:13">
      <c r="B100" s="87"/>
      <c r="C100" s="109" t="s">
        <v>28</v>
      </c>
      <c r="D100" s="248">
        <f>SUMIFS('Budget major project list'!$B25:$XFD25,'Budget major project list'!$B$5:$XFD$5,$C$86,'Budget major project list'!$B$14:$XFD$14,D$87,'Budget major project list'!$B$7:$XFD$7,REFERENCE!$A$34)</f>
        <v>0</v>
      </c>
      <c r="E100" s="249">
        <f>SUMIFS('Budget major project list'!$B25:$XFD25,'Budget major project list'!$B$5:$XFD$5,$C$86,'Budget major project list'!$B$14:$XFD$14,E$87,'Budget major project list'!$B$7:$XFD$7,REFERENCE!$A$34)</f>
        <v>0</v>
      </c>
      <c r="F100" s="249">
        <f>SUMIFS('Budget major project list'!$B25:$XFD25,'Budget major project list'!$B$5:$XFD$5,$C$86,'Budget major project list'!$B$14:$XFD$14,F$87,'Budget major project list'!$B$7:$XFD$7,REFERENCE!$A$34)</f>
        <v>0</v>
      </c>
      <c r="G100" s="249">
        <f>SUMIFS('Budget major project list'!$B25:$XFD25,'Budget major project list'!$B$5:$XFD$5,$C$86,'Budget major project list'!$B$14:$XFD$14,G$87,'Budget major project list'!$B$7:$XFD$7,REFERENCE!$A$34)</f>
        <v>0</v>
      </c>
      <c r="H100" s="250">
        <f>SUMIFS('Budget major project list'!$B25:$XFD25,'Budget major project list'!$B$5:$XFD$5,$C$86,'Budget major project list'!$B$14:$XFD$14,H$87,'Budget major project list'!$B$7:$XFD$7,REFERENCE!$A$34)</f>
        <v>0</v>
      </c>
      <c r="I100" s="251">
        <f t="shared" si="11"/>
        <v>0</v>
      </c>
      <c r="J100" s="197"/>
      <c r="K100" s="269" t="s">
        <v>28</v>
      </c>
      <c r="L100" s="251">
        <f>SUMIFS('Budget major project list'!$B25:$XFD25,'Budget major project list'!$B$5:$XFD$5,$C$86,'Budget major project list'!$B$14:$XFD$14,L$87,'Budget major project list'!$B$7:$XFD$7,REFERENCE!$A$34)</f>
        <v>0</v>
      </c>
      <c r="M100" s="88"/>
    </row>
    <row r="101" spans="2:13">
      <c r="B101" s="87"/>
      <c r="C101" s="110" t="s">
        <v>23</v>
      </c>
      <c r="D101" s="245">
        <f>SUMIFS('Budget major project list'!$B26:$XFD26,'Budget major project list'!$B$5:$XFD$5,$C$86,'Budget major project list'!$B$14:$XFD$14,D$87,'Budget major project list'!$B$7:$XFD$7,REFERENCE!$A$34)</f>
        <v>0</v>
      </c>
      <c r="E101" s="246">
        <f>SUMIFS('Budget major project list'!$B26:$XFD26,'Budget major project list'!$B$5:$XFD$5,$C$86,'Budget major project list'!$B$14:$XFD$14,E$87,'Budget major project list'!$B$7:$XFD$7,REFERENCE!$A$34)</f>
        <v>0</v>
      </c>
      <c r="F101" s="246">
        <f>SUMIFS('Budget major project list'!$B26:$XFD26,'Budget major project list'!$B$5:$XFD$5,$C$86,'Budget major project list'!$B$14:$XFD$14,F$87,'Budget major project list'!$B$7:$XFD$7,REFERENCE!$A$34)</f>
        <v>0</v>
      </c>
      <c r="G101" s="246">
        <f>SUMIFS('Budget major project list'!$B26:$XFD26,'Budget major project list'!$B$5:$XFD$5,$C$86,'Budget major project list'!$B$14:$XFD$14,G$87,'Budget major project list'!$B$7:$XFD$7,REFERENCE!$A$34)</f>
        <v>0</v>
      </c>
      <c r="H101" s="247">
        <f>SUMIFS('Budget major project list'!$B26:$XFD26,'Budget major project list'!$B$5:$XFD$5,$C$86,'Budget major project list'!$B$14:$XFD$14,H$87,'Budget major project list'!$B$7:$XFD$7,REFERENCE!$A$34)</f>
        <v>0</v>
      </c>
      <c r="I101" s="78">
        <f t="shared" si="11"/>
        <v>0</v>
      </c>
      <c r="J101" s="220"/>
      <c r="K101" s="110" t="s">
        <v>23</v>
      </c>
      <c r="L101" s="78">
        <f>SUMIFS('Budget major project list'!$B26:$XFD26,'Budget major project list'!$B$5:$XFD$5,$C$86,'Budget major project list'!$B$14:$XFD$14,L$87,'Budget major project list'!$B$7:$XFD$7,REFERENCE!$A$34)</f>
        <v>0</v>
      </c>
      <c r="M101" s="88"/>
    </row>
    <row r="102" spans="2:13">
      <c r="B102" s="87"/>
      <c r="C102" s="37" t="s">
        <v>32</v>
      </c>
      <c r="D102" s="245">
        <f>SUMIFS('Budget major project list'!$B27:$XFD27,'Budget major project list'!$B$5:$XFD$5,$C$86,'Budget major project list'!$B$14:$XFD$14,D$87,'Budget major project list'!$B$7:$XFD$7,REFERENCE!$A$34)</f>
        <v>0</v>
      </c>
      <c r="E102" s="246">
        <f>SUMIFS('Budget major project list'!$B27:$XFD27,'Budget major project list'!$B$5:$XFD$5,$C$86,'Budget major project list'!$B$14:$XFD$14,E$87,'Budget major project list'!$B$7:$XFD$7,REFERENCE!$A$34)</f>
        <v>0</v>
      </c>
      <c r="F102" s="246">
        <f>SUMIFS('Budget major project list'!$B27:$XFD27,'Budget major project list'!$B$5:$XFD$5,$C$86,'Budget major project list'!$B$14:$XFD$14,F$87,'Budget major project list'!$B$7:$XFD$7,REFERENCE!$A$34)</f>
        <v>0</v>
      </c>
      <c r="G102" s="246">
        <f>SUMIFS('Budget major project list'!$B27:$XFD27,'Budget major project list'!$B$5:$XFD$5,$C$86,'Budget major project list'!$B$14:$XFD$14,G$87,'Budget major project list'!$B$7:$XFD$7,REFERENCE!$A$34)</f>
        <v>0</v>
      </c>
      <c r="H102" s="247">
        <f>SUMIFS('Budget major project list'!$B27:$XFD27,'Budget major project list'!$B$5:$XFD$5,$C$86,'Budget major project list'!$B$14:$XFD$14,H$87,'Budget major project list'!$B$7:$XFD$7,REFERENCE!$A$34)</f>
        <v>0</v>
      </c>
      <c r="I102" s="78">
        <f t="shared" si="11"/>
        <v>0</v>
      </c>
      <c r="J102" s="197"/>
      <c r="K102" s="110" t="s">
        <v>32</v>
      </c>
      <c r="L102" s="78">
        <f>SUMIFS('Budget major project list'!$B27:$XFD27,'Budget major project list'!$B$5:$XFD$5,$C$86,'Budget major project list'!$B$14:$XFD$14,L$87,'Budget major project list'!$B$7:$XFD$7,REFERENCE!$A$34)</f>
        <v>0</v>
      </c>
      <c r="M102" s="88"/>
    </row>
    <row r="103" spans="2:13" ht="15.75" thickBot="1">
      <c r="B103" s="87"/>
      <c r="C103" s="118" t="s">
        <v>129</v>
      </c>
      <c r="D103" s="252">
        <f>SUMIFS('Budget major project list'!$B34:$XFD34,'Budget major project list'!$B$5:$XFD$5,$C$86,'Budget major project list'!$B$14:$XFD$14,D$87,'Budget major project list'!$B$7:$XFD$7,REFERENCE!$A$34)</f>
        <v>0</v>
      </c>
      <c r="E103" s="253">
        <f>SUMIFS('Budget major project list'!$B34:$XFD34,'Budget major project list'!$B$5:$XFD$5,$C$86,'Budget major project list'!$B$14:$XFD$14,E$87,'Budget major project list'!$B$7:$XFD$7,REFERENCE!$A$34)</f>
        <v>0</v>
      </c>
      <c r="F103" s="253">
        <f>SUMIFS('Budget major project list'!$B34:$XFD34,'Budget major project list'!$B$5:$XFD$5,$C$86,'Budget major project list'!$B$14:$XFD$14,F$87,'Budget major project list'!$B$7:$XFD$7,REFERENCE!$A$34)</f>
        <v>0</v>
      </c>
      <c r="G103" s="253">
        <f>SUMIFS('Budget major project list'!$B34:$XFD34,'Budget major project list'!$B$5:$XFD$5,$C$86,'Budget major project list'!$B$14:$XFD$14,G$87,'Budget major project list'!$B$7:$XFD$7,REFERENCE!$A$34)</f>
        <v>0</v>
      </c>
      <c r="H103" s="254">
        <f>SUMIFS('Budget major project list'!$B34:$XFD34,'Budget major project list'!$B$5:$XFD$5,$C$86,'Budget major project list'!$B$14:$XFD$14,H$87,'Budget major project list'!$B$7:$XFD$7,REFERENCE!$A$34)</f>
        <v>0</v>
      </c>
      <c r="I103" s="255">
        <f>SUM(D103:H103)</f>
        <v>0</v>
      </c>
      <c r="J103" s="197"/>
      <c r="K103" s="272" t="s">
        <v>129</v>
      </c>
      <c r="L103" s="255">
        <f>SUMIFS('Budget major project list'!$B34:$XFD34,'Budget major project list'!$B$5:$XFD$5,$C$86,'Budget major project list'!$B$14:$XFD$14,L$87,'Budget major project list'!$B$7:$XFD$7,REFERENCE!$A$34)</f>
        <v>0</v>
      </c>
      <c r="M103" s="88"/>
    </row>
    <row r="104" spans="2:13" ht="15.75" thickBot="1">
      <c r="B104" s="112"/>
      <c r="C104" s="119"/>
      <c r="D104" s="113"/>
      <c r="E104" s="113"/>
      <c r="F104" s="113"/>
      <c r="G104" s="113"/>
      <c r="H104" s="113"/>
      <c r="I104" s="113"/>
      <c r="J104" s="103"/>
      <c r="K104" s="113"/>
      <c r="L104" s="113"/>
      <c r="M104" s="114"/>
    </row>
    <row r="106" spans="2:13" ht="21">
      <c r="B106" s="273" t="s">
        <v>152</v>
      </c>
    </row>
    <row r="108" spans="2:13">
      <c r="D108" s="4"/>
      <c r="E108" s="4"/>
    </row>
    <row r="109" spans="2:13">
      <c r="D109" s="4"/>
      <c r="E109" s="4"/>
    </row>
    <row r="110" spans="2:13">
      <c r="D110" s="4"/>
      <c r="E110" s="4"/>
    </row>
    <row r="111" spans="2:13">
      <c r="D111" s="4"/>
      <c r="E111" s="4"/>
      <c r="G111" s="4"/>
    </row>
    <row r="112" spans="2:13">
      <c r="D112" s="4"/>
      <c r="E112" s="4"/>
      <c r="G112" s="4"/>
    </row>
    <row r="113" spans="4:7">
      <c r="D113" s="4"/>
      <c r="E113" s="4"/>
      <c r="G113" s="4"/>
    </row>
    <row r="114" spans="4:7">
      <c r="D114" s="4"/>
      <c r="E114" s="4"/>
      <c r="G114" s="4"/>
    </row>
    <row r="115" spans="4:7">
      <c r="D115" s="4"/>
      <c r="E115" s="4"/>
      <c r="G115" s="4"/>
    </row>
    <row r="116" spans="4:7">
      <c r="D116" s="4"/>
      <c r="E116" s="4"/>
      <c r="G116" s="4"/>
    </row>
    <row r="117" spans="4:7">
      <c r="D117" s="4"/>
      <c r="E117" s="4"/>
      <c r="G117" s="4"/>
    </row>
    <row r="118" spans="4:7">
      <c r="D118" s="4"/>
      <c r="E118" s="4"/>
      <c r="G118" s="4"/>
    </row>
    <row r="119" spans="4:7">
      <c r="D119" s="4"/>
      <c r="E119" s="4"/>
      <c r="G119" s="4"/>
    </row>
    <row r="120" spans="4:7">
      <c r="D120" s="4"/>
      <c r="E120" s="4"/>
      <c r="G120" s="4"/>
    </row>
    <row r="121" spans="4:7">
      <c r="D121" s="4"/>
      <c r="E121" s="4"/>
      <c r="G121" s="4"/>
    </row>
    <row r="122" spans="4:7">
      <c r="D122" s="4"/>
      <c r="E122" s="4"/>
    </row>
    <row r="123" spans="4:7">
      <c r="D123" s="4"/>
      <c r="E123" s="4"/>
    </row>
    <row r="124" spans="4:7">
      <c r="D124" s="4"/>
      <c r="E124" s="4"/>
    </row>
  </sheetData>
  <mergeCells count="4">
    <mergeCell ref="D66:I66"/>
    <mergeCell ref="D86:I86"/>
    <mergeCell ref="D23:I23"/>
    <mergeCell ref="D43:I43"/>
  </mergeCells>
  <pageMargins left="0.39370078740157483" right="0.39370078740157483" top="0.39370078740157483" bottom="0.39370078740157483" header="0.31496062992125984" footer="0.31496062992125984"/>
  <pageSetup paperSize="9" orientation="landscape" r:id="rId1"/>
  <ignoredErrors>
    <ignoredError sqref="D27:H27 I47 L27 D70:I70 L70 I90 I45:I46 I53 I49:I50 I51:I52 I48 I54:I60 I68:I69 I76 I72:I75 I71 I77:I83 I88:I89 I96 I92:I95 I97:I103 I91 L45:L60 D88:H103 L88:L103" unlockedFormula="1"/>
    <ignoredError sqref="D33:H33 D28:H28 L33 L28 D71:H71 D76:H76 L71 L76" formulaRange="1" unlockedFormula="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34975C-E088-4BA7-947E-E30F209BD9B4}">
  <dimension ref="A1:Z41"/>
  <sheetViews>
    <sheetView zoomScale="80" zoomScaleNormal="80" workbookViewId="0">
      <pane xSplit="1" ySplit="6" topLeftCell="H7" activePane="bottomRight" state="frozen"/>
      <selection pane="bottomRight" activeCell="M8" sqref="M8"/>
      <selection pane="bottomLeft" activeCell="G94" sqref="G94"/>
      <selection pane="topRight" activeCell="G94" sqref="G94"/>
    </sheetView>
  </sheetViews>
  <sheetFormatPr defaultColWidth="10.5703125" defaultRowHeight="15"/>
  <cols>
    <col min="1" max="1" width="42.5703125" style="4" customWidth="1"/>
    <col min="2" max="2" width="32.42578125" style="4" customWidth="1"/>
    <col min="3" max="3" width="31.5703125" style="4" customWidth="1"/>
    <col min="4" max="4" width="22.42578125" style="4" customWidth="1"/>
    <col min="5" max="5" width="36.42578125" style="4" customWidth="1"/>
    <col min="6" max="14" width="21.5703125" style="4" customWidth="1"/>
    <col min="15" max="15" width="27.42578125" style="4" customWidth="1"/>
    <col min="16" max="20" width="21.5703125" style="4" customWidth="1"/>
    <col min="21" max="21" width="27" style="4" customWidth="1"/>
    <col min="22" max="22" width="27.42578125" style="4" customWidth="1"/>
    <col min="23" max="23" width="34.42578125" style="4" customWidth="1"/>
    <col min="24" max="25" width="21.5703125" style="4" customWidth="1"/>
    <col min="26" max="26" width="22.5703125" style="4" customWidth="1"/>
    <col min="27" max="32" width="10.5703125" style="4" bestFit="1" customWidth="1"/>
    <col min="33" max="16384" width="10.5703125" style="4"/>
  </cols>
  <sheetData>
    <row r="1" spans="1:26" ht="21">
      <c r="A1" s="1" t="s">
        <v>153</v>
      </c>
    </row>
    <row r="2" spans="1:26" ht="21">
      <c r="A2" s="1" t="s">
        <v>154</v>
      </c>
    </row>
    <row r="3" spans="1:26" ht="19.5" thickBot="1">
      <c r="A3" s="5" t="s">
        <v>155</v>
      </c>
    </row>
    <row r="4" spans="1:26" ht="15.75" thickBot="1">
      <c r="A4" s="283" t="s">
        <v>156</v>
      </c>
      <c r="B4" s="284"/>
      <c r="C4" s="284"/>
      <c r="D4" s="284"/>
      <c r="E4" s="284"/>
      <c r="F4" s="284"/>
      <c r="G4" s="285"/>
      <c r="H4" s="147"/>
      <c r="I4" s="147"/>
      <c r="J4" s="147"/>
      <c r="K4" s="147"/>
      <c r="L4" s="147"/>
      <c r="M4" s="147"/>
      <c r="N4" s="147"/>
      <c r="O4" s="147"/>
      <c r="P4" s="147"/>
      <c r="Q4" s="147"/>
      <c r="R4" s="147"/>
      <c r="S4" s="147"/>
      <c r="T4" s="147"/>
      <c r="U4" s="147"/>
      <c r="V4" s="147"/>
      <c r="W4" s="147"/>
      <c r="X4" s="147"/>
      <c r="Y4" s="147"/>
      <c r="Z4" s="147"/>
    </row>
    <row r="5" spans="1:26" s="131" customFormat="1">
      <c r="A5" s="145" t="s">
        <v>157</v>
      </c>
      <c r="B5" s="146" t="s">
        <v>158</v>
      </c>
      <c r="C5" s="146" t="s">
        <v>158</v>
      </c>
      <c r="D5" s="146" t="s">
        <v>130</v>
      </c>
      <c r="E5" s="146" t="s">
        <v>130</v>
      </c>
      <c r="F5" s="146" t="s">
        <v>130</v>
      </c>
      <c r="G5" s="146" t="s">
        <v>130</v>
      </c>
      <c r="H5" s="146" t="s">
        <v>130</v>
      </c>
      <c r="I5" s="146" t="s">
        <v>130</v>
      </c>
      <c r="J5" s="146" t="s">
        <v>130</v>
      </c>
      <c r="K5" s="146" t="s">
        <v>130</v>
      </c>
      <c r="L5" s="146" t="s">
        <v>130</v>
      </c>
      <c r="M5" s="146" t="s">
        <v>130</v>
      </c>
      <c r="N5" s="146" t="s">
        <v>130</v>
      </c>
      <c r="O5" s="146" t="s">
        <v>158</v>
      </c>
      <c r="P5" s="146" t="s">
        <v>130</v>
      </c>
      <c r="Q5" s="146" t="s">
        <v>130</v>
      </c>
      <c r="R5" s="146" t="s">
        <v>130</v>
      </c>
      <c r="S5" s="146" t="s">
        <v>130</v>
      </c>
      <c r="T5" s="146" t="s">
        <v>130</v>
      </c>
      <c r="U5" s="146" t="s">
        <v>130</v>
      </c>
      <c r="V5" s="146" t="s">
        <v>130</v>
      </c>
      <c r="W5" s="146" t="s">
        <v>130</v>
      </c>
      <c r="X5" s="146" t="s">
        <v>130</v>
      </c>
      <c r="Y5" s="146" t="s">
        <v>130</v>
      </c>
      <c r="Z5" s="146" t="s">
        <v>130</v>
      </c>
    </row>
    <row r="6" spans="1:26" s="131" customFormat="1" ht="44.85" customHeight="1">
      <c r="A6" s="54" t="s">
        <v>159</v>
      </c>
      <c r="B6" s="138" t="s">
        <v>160</v>
      </c>
      <c r="C6" s="138" t="s">
        <v>161</v>
      </c>
      <c r="D6" s="138" t="s">
        <v>162</v>
      </c>
      <c r="E6" s="138" t="s">
        <v>163</v>
      </c>
      <c r="F6" s="138" t="s">
        <v>164</v>
      </c>
      <c r="G6" s="138" t="s">
        <v>165</v>
      </c>
      <c r="H6" s="138" t="s">
        <v>166</v>
      </c>
      <c r="I6" s="138" t="s">
        <v>167</v>
      </c>
      <c r="J6" s="138" t="s">
        <v>168</v>
      </c>
      <c r="K6" s="138" t="s">
        <v>169</v>
      </c>
      <c r="L6" s="138" t="s">
        <v>170</v>
      </c>
      <c r="M6" s="138" t="s">
        <v>171</v>
      </c>
      <c r="N6" s="138" t="s">
        <v>172</v>
      </c>
      <c r="O6" s="138" t="s">
        <v>173</v>
      </c>
      <c r="P6" s="138" t="s">
        <v>174</v>
      </c>
      <c r="Q6" s="138" t="s">
        <v>175</v>
      </c>
      <c r="R6" s="138" t="s">
        <v>176</v>
      </c>
      <c r="S6" s="138" t="s">
        <v>177</v>
      </c>
      <c r="T6" s="138" t="s">
        <v>178</v>
      </c>
      <c r="U6" s="138" t="s">
        <v>179</v>
      </c>
      <c r="V6" s="138" t="s">
        <v>180</v>
      </c>
      <c r="W6" s="138" t="s">
        <v>181</v>
      </c>
      <c r="X6" s="138" t="s">
        <v>182</v>
      </c>
      <c r="Y6" s="138" t="s">
        <v>183</v>
      </c>
      <c r="Z6" s="138" t="s">
        <v>184</v>
      </c>
    </row>
    <row r="7" spans="1:26" s="131" customFormat="1">
      <c r="A7" s="54" t="s">
        <v>185</v>
      </c>
      <c r="B7" s="138" t="s">
        <v>186</v>
      </c>
      <c r="C7" s="138" t="s">
        <v>186</v>
      </c>
      <c r="D7" s="138" t="s">
        <v>186</v>
      </c>
      <c r="E7" s="138" t="s">
        <v>186</v>
      </c>
      <c r="F7" s="138" t="s">
        <v>186</v>
      </c>
      <c r="G7" s="138" t="s">
        <v>186</v>
      </c>
      <c r="H7" s="138" t="s">
        <v>186</v>
      </c>
      <c r="I7" s="138" t="s">
        <v>186</v>
      </c>
      <c r="J7" s="138" t="s">
        <v>186</v>
      </c>
      <c r="K7" s="138" t="s">
        <v>186</v>
      </c>
      <c r="L7" s="138" t="s">
        <v>186</v>
      </c>
      <c r="M7" s="138" t="s">
        <v>186</v>
      </c>
      <c r="N7" s="138" t="s">
        <v>186</v>
      </c>
      <c r="O7" s="138" t="s">
        <v>186</v>
      </c>
      <c r="P7" s="138" t="s">
        <v>186</v>
      </c>
      <c r="Q7" s="138" t="s">
        <v>186</v>
      </c>
      <c r="R7" s="138" t="s">
        <v>186</v>
      </c>
      <c r="S7" s="138" t="s">
        <v>186</v>
      </c>
      <c r="T7" s="138" t="s">
        <v>186</v>
      </c>
      <c r="U7" s="138" t="s">
        <v>186</v>
      </c>
      <c r="V7" s="138" t="s">
        <v>186</v>
      </c>
      <c r="W7" s="138" t="s">
        <v>186</v>
      </c>
      <c r="X7" s="138" t="s">
        <v>186</v>
      </c>
      <c r="Y7" s="138" t="s">
        <v>186</v>
      </c>
      <c r="Z7" s="138" t="s">
        <v>141</v>
      </c>
    </row>
    <row r="8" spans="1:26" s="131" customFormat="1" ht="225.75" customHeight="1">
      <c r="A8" s="134" t="s">
        <v>187</v>
      </c>
      <c r="B8" s="138" t="s">
        <v>188</v>
      </c>
      <c r="C8" s="138" t="s">
        <v>189</v>
      </c>
      <c r="D8" s="138" t="s">
        <v>190</v>
      </c>
      <c r="E8" s="138" t="s">
        <v>191</v>
      </c>
      <c r="F8" s="138" t="s">
        <v>192</v>
      </c>
      <c r="G8" s="138" t="s">
        <v>193</v>
      </c>
      <c r="H8" s="138" t="s">
        <v>194</v>
      </c>
      <c r="I8" s="138" t="s">
        <v>195</v>
      </c>
      <c r="J8" s="138" t="s">
        <v>196</v>
      </c>
      <c r="K8" s="138" t="s">
        <v>197</v>
      </c>
      <c r="L8" s="138" t="s">
        <v>198</v>
      </c>
      <c r="M8" s="138" t="s">
        <v>199</v>
      </c>
      <c r="N8" s="138" t="s">
        <v>200</v>
      </c>
      <c r="O8" s="138" t="s">
        <v>201</v>
      </c>
      <c r="P8" s="138" t="s">
        <v>202</v>
      </c>
      <c r="Q8" s="138" t="s">
        <v>203</v>
      </c>
      <c r="R8" s="138" t="s">
        <v>204</v>
      </c>
      <c r="S8" s="138" t="s">
        <v>205</v>
      </c>
      <c r="T8" s="138" t="s">
        <v>206</v>
      </c>
      <c r="U8" s="138" t="s">
        <v>207</v>
      </c>
      <c r="V8" s="138" t="s">
        <v>208</v>
      </c>
      <c r="W8" s="138" t="s">
        <v>209</v>
      </c>
      <c r="X8" s="138" t="s">
        <v>210</v>
      </c>
      <c r="Y8" s="138" t="s">
        <v>195</v>
      </c>
      <c r="Z8" s="138" t="s">
        <v>211</v>
      </c>
    </row>
    <row r="9" spans="1:26" s="131" customFormat="1">
      <c r="A9" s="54" t="s">
        <v>212</v>
      </c>
      <c r="B9" s="137" t="s">
        <v>213</v>
      </c>
      <c r="C9" s="137" t="s">
        <v>214</v>
      </c>
      <c r="D9" s="137" t="s">
        <v>215</v>
      </c>
      <c r="E9" s="137" t="s">
        <v>216</v>
      </c>
      <c r="F9" s="137" t="s">
        <v>217</v>
      </c>
      <c r="G9" s="137" t="s">
        <v>218</v>
      </c>
      <c r="H9" s="137" t="s">
        <v>219</v>
      </c>
      <c r="I9" s="137" t="s">
        <v>220</v>
      </c>
      <c r="J9" s="137" t="s">
        <v>221</v>
      </c>
      <c r="K9" s="137" t="s">
        <v>222</v>
      </c>
      <c r="L9" s="137" t="s">
        <v>223</v>
      </c>
      <c r="M9" s="137" t="s">
        <v>224</v>
      </c>
      <c r="N9" s="137" t="s">
        <v>225</v>
      </c>
      <c r="O9" s="137" t="s">
        <v>226</v>
      </c>
      <c r="P9" s="137" t="s">
        <v>227</v>
      </c>
      <c r="Q9" s="137" t="s">
        <v>228</v>
      </c>
      <c r="R9" s="137" t="s">
        <v>229</v>
      </c>
      <c r="S9" s="137" t="s">
        <v>230</v>
      </c>
      <c r="T9" s="137" t="s">
        <v>231</v>
      </c>
      <c r="U9" s="137" t="s">
        <v>232</v>
      </c>
      <c r="V9" s="137" t="s">
        <v>233</v>
      </c>
      <c r="W9" s="137" t="s">
        <v>234</v>
      </c>
      <c r="X9" s="137" t="s">
        <v>235</v>
      </c>
      <c r="Y9" s="137" t="s">
        <v>236</v>
      </c>
      <c r="Z9" s="137" t="s">
        <v>237</v>
      </c>
    </row>
    <row r="10" spans="1:26" s="131" customFormat="1">
      <c r="A10" s="54" t="s">
        <v>143</v>
      </c>
      <c r="B10" s="142">
        <v>16121.628000000001</v>
      </c>
      <c r="C10" s="142">
        <v>5133.8290999999999</v>
      </c>
      <c r="D10" s="142">
        <v>16088.97</v>
      </c>
      <c r="E10" s="142">
        <v>9776.7199999999993</v>
      </c>
      <c r="F10" s="142">
        <v>14217.432000000001</v>
      </c>
      <c r="G10" s="142">
        <v>4099.7730000000001</v>
      </c>
      <c r="H10" s="142">
        <v>3624.7489999999998</v>
      </c>
      <c r="I10" s="142">
        <v>9973.4259999999995</v>
      </c>
      <c r="J10" s="142">
        <v>17300.255000000001</v>
      </c>
      <c r="K10" s="142">
        <v>3352.0390000000002</v>
      </c>
      <c r="L10" s="142">
        <v>5996.848</v>
      </c>
      <c r="M10" s="142">
        <v>3227.5479999999998</v>
      </c>
      <c r="N10" s="142">
        <v>10108.413</v>
      </c>
      <c r="O10" s="142">
        <v>5097.3959999999997</v>
      </c>
      <c r="P10" s="142">
        <v>2127.0630000000001</v>
      </c>
      <c r="Q10" s="142">
        <v>1567.472</v>
      </c>
      <c r="R10" s="142">
        <v>1193.3879999999999</v>
      </c>
      <c r="S10" s="142">
        <v>13826.418</v>
      </c>
      <c r="T10" s="142">
        <v>760.1619199999999</v>
      </c>
      <c r="U10" s="142">
        <v>2016.25863471458</v>
      </c>
      <c r="V10" s="142">
        <v>991.8997469366667</v>
      </c>
      <c r="W10" s="142">
        <v>1633.7293039008332</v>
      </c>
      <c r="X10" s="142">
        <v>3079.3351209145844</v>
      </c>
      <c r="Y10" s="142">
        <v>1225.1977211758333</v>
      </c>
      <c r="Z10" s="142">
        <v>650</v>
      </c>
    </row>
    <row r="11" spans="1:26" s="131" customFormat="1">
      <c r="A11" s="125" t="s">
        <v>238</v>
      </c>
      <c r="B11" s="120">
        <v>0</v>
      </c>
      <c r="C11" s="233">
        <v>6249.9989999999998</v>
      </c>
      <c r="D11" s="233">
        <v>11149.71033</v>
      </c>
      <c r="E11" s="233">
        <v>8305.5843499999992</v>
      </c>
      <c r="F11" s="233">
        <v>10204.702270000002</v>
      </c>
      <c r="G11" s="233">
        <v>4103.0868899999996</v>
      </c>
      <c r="H11" s="233">
        <v>255.66691</v>
      </c>
      <c r="I11" s="233">
        <v>9335.36528</v>
      </c>
      <c r="J11" s="233">
        <v>11156.14438</v>
      </c>
      <c r="K11" s="233">
        <v>3397.0606599999996</v>
      </c>
      <c r="L11" s="233">
        <v>5163.7340899999999</v>
      </c>
      <c r="M11" s="233">
        <v>2443.0176799999999</v>
      </c>
      <c r="N11" s="233">
        <v>6516.6553199999998</v>
      </c>
      <c r="O11" s="233">
        <v>3136.6747399999999</v>
      </c>
      <c r="P11" s="233">
        <v>1431.20551</v>
      </c>
      <c r="Q11" s="233">
        <v>1492.14778</v>
      </c>
      <c r="R11" s="233">
        <v>144.57601</v>
      </c>
      <c r="S11" s="233">
        <v>4508.4208500000004</v>
      </c>
      <c r="T11" s="233">
        <v>441.84129999999999</v>
      </c>
      <c r="U11" s="233">
        <v>0</v>
      </c>
      <c r="V11" s="233">
        <v>0</v>
      </c>
      <c r="W11" s="233">
        <v>0</v>
      </c>
      <c r="X11" s="233">
        <v>0</v>
      </c>
      <c r="Y11" s="233">
        <v>0</v>
      </c>
      <c r="Z11" s="233">
        <v>0</v>
      </c>
    </row>
    <row r="12" spans="1:26" s="132" customFormat="1">
      <c r="A12" s="43" t="s">
        <v>239</v>
      </c>
      <c r="B12" s="122" t="str">
        <f>IF((B11+B15)&gt;B10,"Project expenditure exceeds budget","")</f>
        <v/>
      </c>
      <c r="C12" s="122" t="str">
        <f>IF((C11+C15)&gt;C10,"Project expenditure exceeds budget","")</f>
        <v>Project expenditure exceeds budget</v>
      </c>
      <c r="D12" s="122" t="str">
        <f t="shared" ref="D12:X12" si="0">IF((D11+D15)&gt;D10,"Project expenditure exceeds budget","")</f>
        <v>Project expenditure exceeds budget</v>
      </c>
      <c r="E12" s="122" t="str">
        <f t="shared" si="0"/>
        <v/>
      </c>
      <c r="F12" s="122" t="str">
        <f t="shared" si="0"/>
        <v/>
      </c>
      <c r="G12" s="122" t="str">
        <f t="shared" si="0"/>
        <v>Project expenditure exceeds budget</v>
      </c>
      <c r="H12" s="122" t="str">
        <f t="shared" si="0"/>
        <v/>
      </c>
      <c r="I12" s="122" t="str">
        <f t="shared" si="0"/>
        <v/>
      </c>
      <c r="J12" s="122" t="str">
        <f t="shared" si="0"/>
        <v/>
      </c>
      <c r="K12" s="122" t="str">
        <f t="shared" si="0"/>
        <v>Project expenditure exceeds budget</v>
      </c>
      <c r="L12" s="122" t="str">
        <f t="shared" si="0"/>
        <v/>
      </c>
      <c r="M12" s="122" t="str">
        <f t="shared" si="0"/>
        <v/>
      </c>
      <c r="N12" s="122" t="str">
        <f t="shared" si="0"/>
        <v/>
      </c>
      <c r="O12" s="122" t="str">
        <f t="shared" si="0"/>
        <v/>
      </c>
      <c r="P12" s="122" t="str">
        <f t="shared" si="0"/>
        <v/>
      </c>
      <c r="Q12" s="122" t="str">
        <f t="shared" si="0"/>
        <v>Project expenditure exceeds budget</v>
      </c>
      <c r="R12" s="122" t="str">
        <f t="shared" si="0"/>
        <v/>
      </c>
      <c r="S12" s="122" t="str">
        <f t="shared" si="0"/>
        <v/>
      </c>
      <c r="T12" s="122" t="str">
        <f t="shared" si="0"/>
        <v/>
      </c>
      <c r="U12" s="122" t="str">
        <f t="shared" si="0"/>
        <v/>
      </c>
      <c r="V12" s="122" t="str">
        <f t="shared" si="0"/>
        <v>Project expenditure exceeds budget</v>
      </c>
      <c r="W12" s="122" t="str">
        <f t="shared" si="0"/>
        <v/>
      </c>
      <c r="X12" s="122" t="str">
        <f t="shared" si="0"/>
        <v/>
      </c>
      <c r="Y12" s="122" t="str">
        <f t="shared" ref="Y12:Z12" si="1">IF((Y11+Y15)&gt;Y10,"Project expenditure exceeds budget","")</f>
        <v/>
      </c>
      <c r="Z12" s="122" t="str">
        <f t="shared" si="1"/>
        <v/>
      </c>
    </row>
    <row r="13" spans="1:26" s="132" customFormat="1">
      <c r="A13" s="123" t="s">
        <v>240</v>
      </c>
      <c r="B13" s="124" t="str">
        <f t="shared" ref="B13:Z13" si="2">IF(B14="","ASSET CLASS MUST BE ALLOCATED",IF(B7="Non-capitalised",IF(B14="Non-capitalised project","","Non capitalised project asset class must be selected"),""))</f>
        <v/>
      </c>
      <c r="C13" s="124" t="str">
        <f t="shared" ref="C13:X13" si="3">IF(C14="","ASSET CLASS MUST BE ALLOCATED",IF(C7="Non-capitalised",IF(C14="Non-capitalised project","","Non capitalised project asset class must be selected"),""))</f>
        <v/>
      </c>
      <c r="D13" s="124" t="str">
        <f t="shared" si="3"/>
        <v/>
      </c>
      <c r="E13" s="124" t="str">
        <f t="shared" si="3"/>
        <v/>
      </c>
      <c r="F13" s="124" t="str">
        <f t="shared" si="3"/>
        <v/>
      </c>
      <c r="G13" s="124" t="str">
        <f t="shared" si="3"/>
        <v/>
      </c>
      <c r="H13" s="124" t="str">
        <f t="shared" si="3"/>
        <v/>
      </c>
      <c r="I13" s="124" t="str">
        <f t="shared" si="3"/>
        <v/>
      </c>
      <c r="J13" s="124" t="str">
        <f t="shared" si="3"/>
        <v/>
      </c>
      <c r="K13" s="124" t="str">
        <f t="shared" si="3"/>
        <v/>
      </c>
      <c r="L13" s="124" t="str">
        <f t="shared" si="3"/>
        <v/>
      </c>
      <c r="M13" s="124" t="str">
        <f t="shared" si="3"/>
        <v/>
      </c>
      <c r="N13" s="124" t="str">
        <f t="shared" si="3"/>
        <v/>
      </c>
      <c r="O13" s="124" t="str">
        <f t="shared" si="3"/>
        <v/>
      </c>
      <c r="P13" s="124" t="str">
        <f t="shared" si="3"/>
        <v/>
      </c>
      <c r="Q13" s="124" t="str">
        <f t="shared" si="3"/>
        <v/>
      </c>
      <c r="R13" s="124" t="str">
        <f t="shared" si="3"/>
        <v/>
      </c>
      <c r="S13" s="124" t="str">
        <f t="shared" si="3"/>
        <v/>
      </c>
      <c r="T13" s="124" t="str">
        <f t="shared" si="3"/>
        <v/>
      </c>
      <c r="U13" s="124" t="str">
        <f t="shared" si="3"/>
        <v/>
      </c>
      <c r="V13" s="124" t="str">
        <f t="shared" si="3"/>
        <v/>
      </c>
      <c r="W13" s="124" t="str">
        <f t="shared" si="3"/>
        <v/>
      </c>
      <c r="X13" s="124" t="str">
        <f t="shared" si="3"/>
        <v/>
      </c>
      <c r="Y13" s="124" t="str">
        <f t="shared" si="2"/>
        <v/>
      </c>
      <c r="Z13" s="124" t="str">
        <f t="shared" si="2"/>
        <v/>
      </c>
    </row>
    <row r="14" spans="1:26" s="131" customFormat="1" ht="15.75" thickBot="1">
      <c r="A14" s="125" t="s">
        <v>241</v>
      </c>
      <c r="B14" s="138" t="s">
        <v>127</v>
      </c>
      <c r="C14" s="138" t="s">
        <v>127</v>
      </c>
      <c r="D14" s="138" t="s">
        <v>126</v>
      </c>
      <c r="E14" s="138" t="s">
        <v>126</v>
      </c>
      <c r="F14" s="138" t="s">
        <v>126</v>
      </c>
      <c r="G14" s="138" t="s">
        <v>126</v>
      </c>
      <c r="H14" s="138" t="s">
        <v>126</v>
      </c>
      <c r="I14" s="138" t="s">
        <v>126</v>
      </c>
      <c r="J14" s="138" t="s">
        <v>126</v>
      </c>
      <c r="K14" s="138" t="s">
        <v>126</v>
      </c>
      <c r="L14" s="138" t="s">
        <v>126</v>
      </c>
      <c r="M14" s="138" t="s">
        <v>126</v>
      </c>
      <c r="N14" s="138" t="s">
        <v>126</v>
      </c>
      <c r="O14" s="138" t="s">
        <v>127</v>
      </c>
      <c r="P14" s="138" t="s">
        <v>126</v>
      </c>
      <c r="Q14" s="138" t="s">
        <v>126</v>
      </c>
      <c r="R14" s="138" t="s">
        <v>126</v>
      </c>
      <c r="S14" s="138" t="s">
        <v>126</v>
      </c>
      <c r="T14" s="138" t="s">
        <v>126</v>
      </c>
      <c r="U14" s="138" t="s">
        <v>126</v>
      </c>
      <c r="V14" s="138" t="s">
        <v>126</v>
      </c>
      <c r="W14" s="138" t="s">
        <v>126</v>
      </c>
      <c r="X14" s="138" t="s">
        <v>126</v>
      </c>
      <c r="Y14" s="138" t="s">
        <v>126</v>
      </c>
      <c r="Z14" s="138" t="s">
        <v>148</v>
      </c>
    </row>
    <row r="15" spans="1:26">
      <c r="A15" s="75" t="s">
        <v>242</v>
      </c>
      <c r="B15" s="140">
        <f t="shared" ref="B15" si="4">SUM(B16,B19,B20,B21,B26,B27)</f>
        <v>1778.53</v>
      </c>
      <c r="C15" s="140">
        <f t="shared" ref="C15" si="5">SUM(C16,C19,C20,C21,C26,C27)</f>
        <v>258.86583912499998</v>
      </c>
      <c r="D15" s="140">
        <f>SUM(D16,D19,D20,D21,D26,D27,D34)</f>
        <v>4979.9364993106437</v>
      </c>
      <c r="E15" s="140">
        <f t="shared" ref="E15:Z15" si="6">SUM(E16,E19,E20,E21,E26,E27,E34)</f>
        <v>1071.4290000000001</v>
      </c>
      <c r="F15" s="140">
        <f t="shared" si="6"/>
        <v>2527.33806544461</v>
      </c>
      <c r="G15" s="140">
        <f t="shared" si="6"/>
        <v>52.034144309999995</v>
      </c>
      <c r="H15" s="140">
        <f t="shared" si="6"/>
        <v>2482.2237174714664</v>
      </c>
      <c r="I15" s="140">
        <f t="shared" si="6"/>
        <v>464.83979471880332</v>
      </c>
      <c r="J15" s="140">
        <f t="shared" si="6"/>
        <v>3783.9036644003381</v>
      </c>
      <c r="K15" s="140">
        <f t="shared" si="6"/>
        <v>140.3571484956494</v>
      </c>
      <c r="L15" s="140">
        <f t="shared" si="6"/>
        <v>802.48298257586373</v>
      </c>
      <c r="M15" s="140">
        <f t="shared" si="6"/>
        <v>474.49906075470682</v>
      </c>
      <c r="N15" s="140">
        <f t="shared" si="6"/>
        <v>3509.3591086203301</v>
      </c>
      <c r="O15" s="140">
        <f t="shared" si="6"/>
        <v>471.75784615384651</v>
      </c>
      <c r="P15" s="140">
        <f t="shared" si="6"/>
        <v>198.39323211060901</v>
      </c>
      <c r="Q15" s="140">
        <f t="shared" si="6"/>
        <v>146.99565470108334</v>
      </c>
      <c r="R15" s="140">
        <f t="shared" si="6"/>
        <v>814.88931438766667</v>
      </c>
      <c r="S15" s="140">
        <f t="shared" si="6"/>
        <v>8355.2087731175325</v>
      </c>
      <c r="T15" s="140">
        <f t="shared" si="6"/>
        <v>276.66900000000004</v>
      </c>
      <c r="U15" s="140">
        <f t="shared" si="6"/>
        <v>2016.2586347145834</v>
      </c>
      <c r="V15" s="140">
        <f t="shared" si="6"/>
        <v>1030.0286523425</v>
      </c>
      <c r="W15" s="140">
        <f t="shared" si="6"/>
        <v>874.63185172999988</v>
      </c>
      <c r="X15" s="140">
        <f t="shared" si="6"/>
        <v>1058.7676746811999</v>
      </c>
      <c r="Y15" s="140">
        <f t="shared" si="6"/>
        <v>979.61616607249994</v>
      </c>
      <c r="Z15" s="140">
        <f t="shared" si="6"/>
        <v>650</v>
      </c>
    </row>
    <row r="16" spans="1:26">
      <c r="A16" s="78" t="s">
        <v>16</v>
      </c>
      <c r="B16" s="141">
        <f t="shared" ref="B16" si="7">SUM(B17:B18)</f>
        <v>1617.208232</v>
      </c>
      <c r="C16" s="141">
        <f t="shared" ref="C16:X16" si="8">SUM(C17:C18)</f>
        <v>257.04342361755999</v>
      </c>
      <c r="D16" s="141">
        <f t="shared" si="8"/>
        <v>2512.4579788000001</v>
      </c>
      <c r="E16" s="141">
        <f t="shared" si="8"/>
        <v>800.12861304262185</v>
      </c>
      <c r="F16" s="141">
        <f t="shared" si="8"/>
        <v>949.58377999999982</v>
      </c>
      <c r="G16" s="141">
        <f t="shared" si="8"/>
        <v>0</v>
      </c>
      <c r="H16" s="141">
        <f t="shared" si="8"/>
        <v>1082.6903537801609</v>
      </c>
      <c r="I16" s="141">
        <f t="shared" si="8"/>
        <v>38.62832464334506</v>
      </c>
      <c r="J16" s="141">
        <f t="shared" si="8"/>
        <v>0</v>
      </c>
      <c r="K16" s="141">
        <f t="shared" si="8"/>
        <v>23.164148603338433</v>
      </c>
      <c r="L16" s="141">
        <f t="shared" si="8"/>
        <v>296.51148805764069</v>
      </c>
      <c r="M16" s="141">
        <f t="shared" si="8"/>
        <v>327.02260861759515</v>
      </c>
      <c r="N16" s="141">
        <f t="shared" si="8"/>
        <v>660.662674176</v>
      </c>
      <c r="O16" s="141">
        <f t="shared" si="8"/>
        <v>339.84905352279793</v>
      </c>
      <c r="P16" s="141">
        <f t="shared" si="8"/>
        <v>35.344000000000001</v>
      </c>
      <c r="Q16" s="141">
        <f t="shared" si="8"/>
        <v>113.32625</v>
      </c>
      <c r="R16" s="141">
        <f t="shared" si="8"/>
        <v>572.38167999999996</v>
      </c>
      <c r="S16" s="141">
        <f t="shared" si="8"/>
        <v>6813.2943678786023</v>
      </c>
      <c r="T16" s="141">
        <f t="shared" si="8"/>
        <v>267.32706550958335</v>
      </c>
      <c r="U16" s="141">
        <f t="shared" si="8"/>
        <v>2008.4930000000002</v>
      </c>
      <c r="V16" s="141">
        <f t="shared" si="8"/>
        <v>652.94666761067572</v>
      </c>
      <c r="W16" s="141">
        <f t="shared" si="8"/>
        <v>670.02506215529377</v>
      </c>
      <c r="X16" s="141">
        <f t="shared" si="8"/>
        <v>916.11223199999995</v>
      </c>
      <c r="Y16" s="141">
        <f t="shared" ref="Y16" si="9">SUM(Y17:Y18)</f>
        <v>794.80694999999992</v>
      </c>
      <c r="Z16" s="141">
        <f>SUM(Z17:Z18)</f>
        <v>0</v>
      </c>
    </row>
    <row r="17" spans="1:26" s="131" customFormat="1">
      <c r="A17" s="39" t="s">
        <v>17</v>
      </c>
      <c r="B17" s="142">
        <v>1617.208232</v>
      </c>
      <c r="C17" s="142">
        <v>75.837336230060004</v>
      </c>
      <c r="D17" s="142">
        <v>1515.37075</v>
      </c>
      <c r="E17" s="142">
        <v>421.31634220588796</v>
      </c>
      <c r="F17" s="142">
        <v>247.57129999999998</v>
      </c>
      <c r="G17" s="142">
        <v>0</v>
      </c>
      <c r="H17" s="142">
        <v>431.04854411170203</v>
      </c>
      <c r="I17" s="142">
        <v>38.62832464334506</v>
      </c>
      <c r="J17" s="142">
        <v>0</v>
      </c>
      <c r="K17" s="142">
        <v>23.164148603338433</v>
      </c>
      <c r="L17" s="142">
        <v>163.96874050108511</v>
      </c>
      <c r="M17" s="142">
        <v>327.02260861759515</v>
      </c>
      <c r="N17" s="142">
        <v>325.82479999999998</v>
      </c>
      <c r="O17" s="142">
        <v>124.53279882176108</v>
      </c>
      <c r="P17" s="142">
        <v>35.344000000000001</v>
      </c>
      <c r="Q17" s="142">
        <v>113.32625</v>
      </c>
      <c r="R17" s="142">
        <v>468.572</v>
      </c>
      <c r="S17" s="142">
        <v>3237.7236714155647</v>
      </c>
      <c r="T17" s="142">
        <v>142.82706550958332</v>
      </c>
      <c r="U17" s="142">
        <v>1778.0930000000001</v>
      </c>
      <c r="V17" s="142">
        <v>652.94666761067572</v>
      </c>
      <c r="W17" s="142">
        <v>670.02506215529377</v>
      </c>
      <c r="X17" s="142">
        <v>414.04619999999994</v>
      </c>
      <c r="Y17" s="142">
        <v>794.80694999999992</v>
      </c>
      <c r="Z17" s="142">
        <v>0</v>
      </c>
    </row>
    <row r="18" spans="1:26" s="131" customFormat="1">
      <c r="A18" s="39" t="s">
        <v>18</v>
      </c>
      <c r="B18" s="142">
        <v>0</v>
      </c>
      <c r="C18" s="142">
        <v>181.20608738749999</v>
      </c>
      <c r="D18" s="142">
        <v>997.08722879999993</v>
      </c>
      <c r="E18" s="142">
        <v>378.81227083673389</v>
      </c>
      <c r="F18" s="142">
        <v>702.01247999999987</v>
      </c>
      <c r="G18" s="142">
        <v>0</v>
      </c>
      <c r="H18" s="142">
        <v>651.64180966845879</v>
      </c>
      <c r="I18" s="142">
        <v>0</v>
      </c>
      <c r="J18" s="142">
        <v>0</v>
      </c>
      <c r="K18" s="142">
        <v>0</v>
      </c>
      <c r="L18" s="142">
        <v>132.54274755655561</v>
      </c>
      <c r="M18" s="142">
        <v>0</v>
      </c>
      <c r="N18" s="142">
        <v>334.83787417600001</v>
      </c>
      <c r="O18" s="142">
        <v>215.31625470103683</v>
      </c>
      <c r="P18" s="142">
        <v>0</v>
      </c>
      <c r="Q18" s="142">
        <v>0</v>
      </c>
      <c r="R18" s="142">
        <v>103.80967999999999</v>
      </c>
      <c r="S18" s="142">
        <v>3575.5706964630376</v>
      </c>
      <c r="T18" s="142">
        <v>124.5</v>
      </c>
      <c r="U18" s="142">
        <v>230.4</v>
      </c>
      <c r="V18" s="142">
        <v>0</v>
      </c>
      <c r="W18" s="142">
        <v>0</v>
      </c>
      <c r="X18" s="142">
        <v>502.06603200000001</v>
      </c>
      <c r="Y18" s="142">
        <v>0</v>
      </c>
      <c r="Z18" s="142">
        <v>0</v>
      </c>
    </row>
    <row r="19" spans="1:26" s="131" customFormat="1">
      <c r="A19" s="41" t="s">
        <v>19</v>
      </c>
      <c r="B19" s="142">
        <v>0</v>
      </c>
      <c r="C19" s="142">
        <v>0</v>
      </c>
      <c r="D19" s="142">
        <v>238.38000000000002</v>
      </c>
      <c r="E19" s="142">
        <v>0</v>
      </c>
      <c r="F19" s="142">
        <v>0</v>
      </c>
      <c r="G19" s="142">
        <v>0</v>
      </c>
      <c r="H19" s="142">
        <v>748.44102898826452</v>
      </c>
      <c r="I19" s="142">
        <v>0</v>
      </c>
      <c r="J19" s="142">
        <v>265.49180091339406</v>
      </c>
      <c r="K19" s="142">
        <v>0</v>
      </c>
      <c r="L19" s="142">
        <v>0</v>
      </c>
      <c r="M19" s="142">
        <v>0</v>
      </c>
      <c r="N19" s="142">
        <v>1369.66</v>
      </c>
      <c r="O19" s="142">
        <v>0</v>
      </c>
      <c r="P19" s="142">
        <v>0</v>
      </c>
      <c r="Q19" s="142">
        <v>0</v>
      </c>
      <c r="R19" s="142">
        <v>0</v>
      </c>
      <c r="S19" s="142">
        <v>0</v>
      </c>
      <c r="T19" s="142">
        <v>0</v>
      </c>
      <c r="U19" s="142">
        <v>0</v>
      </c>
      <c r="V19" s="142">
        <v>0</v>
      </c>
      <c r="W19" s="142">
        <v>0</v>
      </c>
      <c r="X19" s="142">
        <v>0</v>
      </c>
      <c r="Y19" s="142">
        <v>0</v>
      </c>
      <c r="Z19" s="142">
        <v>650</v>
      </c>
    </row>
    <row r="20" spans="1:26" s="131" customFormat="1">
      <c r="A20" s="41" t="s">
        <v>20</v>
      </c>
      <c r="B20" s="142">
        <v>0</v>
      </c>
      <c r="C20" s="142">
        <v>0</v>
      </c>
      <c r="D20" s="142">
        <v>0</v>
      </c>
      <c r="E20" s="142">
        <v>0</v>
      </c>
      <c r="F20" s="142">
        <v>0</v>
      </c>
      <c r="G20" s="142">
        <v>0</v>
      </c>
      <c r="H20" s="142">
        <v>0</v>
      </c>
      <c r="I20" s="142">
        <v>0</v>
      </c>
      <c r="J20" s="142">
        <v>0</v>
      </c>
      <c r="K20" s="142">
        <v>0</v>
      </c>
      <c r="L20" s="142">
        <v>0</v>
      </c>
      <c r="M20" s="142">
        <v>0</v>
      </c>
      <c r="N20" s="142">
        <v>0</v>
      </c>
      <c r="O20" s="142">
        <v>0</v>
      </c>
      <c r="P20" s="142">
        <v>0</v>
      </c>
      <c r="Q20" s="142">
        <v>0</v>
      </c>
      <c r="R20" s="142">
        <v>0</v>
      </c>
      <c r="S20" s="142">
        <v>0</v>
      </c>
      <c r="T20" s="142">
        <v>0</v>
      </c>
      <c r="U20" s="142">
        <v>0</v>
      </c>
      <c r="V20" s="142">
        <v>0</v>
      </c>
      <c r="W20" s="142">
        <v>0</v>
      </c>
      <c r="X20" s="142">
        <v>0</v>
      </c>
      <c r="Y20" s="142">
        <v>0</v>
      </c>
      <c r="Z20" s="142">
        <v>0</v>
      </c>
    </row>
    <row r="21" spans="1:26">
      <c r="A21" s="37" t="s">
        <v>24</v>
      </c>
      <c r="B21" s="141">
        <f>SUM(B22:B25)</f>
        <v>124</v>
      </c>
      <c r="C21" s="141">
        <f t="shared" ref="C21:X21" si="10">SUM(C22:C25)</f>
        <v>0</v>
      </c>
      <c r="D21" s="141">
        <f t="shared" si="10"/>
        <v>0</v>
      </c>
      <c r="E21" s="141">
        <f t="shared" si="10"/>
        <v>177.51747957424126</v>
      </c>
      <c r="F21" s="141">
        <f t="shared" si="10"/>
        <v>0</v>
      </c>
      <c r="G21" s="141">
        <f t="shared" si="10"/>
        <v>0</v>
      </c>
      <c r="H21" s="141">
        <f t="shared" si="10"/>
        <v>0</v>
      </c>
      <c r="I21" s="141">
        <f t="shared" si="10"/>
        <v>0</v>
      </c>
      <c r="J21" s="141">
        <f t="shared" si="10"/>
        <v>2209.9896461742173</v>
      </c>
      <c r="K21" s="141">
        <f t="shared" si="10"/>
        <v>0</v>
      </c>
      <c r="L21" s="141">
        <f t="shared" si="10"/>
        <v>0</v>
      </c>
      <c r="M21" s="141">
        <f t="shared" si="10"/>
        <v>0</v>
      </c>
      <c r="N21" s="141">
        <f t="shared" si="10"/>
        <v>0</v>
      </c>
      <c r="O21" s="141">
        <f t="shared" si="10"/>
        <v>2.1105997249346267</v>
      </c>
      <c r="P21" s="141">
        <f t="shared" si="10"/>
        <v>0</v>
      </c>
      <c r="Q21" s="141">
        <f t="shared" si="10"/>
        <v>0</v>
      </c>
      <c r="R21" s="141">
        <f t="shared" si="10"/>
        <v>0</v>
      </c>
      <c r="S21" s="141">
        <f t="shared" si="10"/>
        <v>0</v>
      </c>
      <c r="T21" s="141">
        <f t="shared" si="10"/>
        <v>0</v>
      </c>
      <c r="U21" s="141">
        <f t="shared" si="10"/>
        <v>0</v>
      </c>
      <c r="V21" s="141">
        <f t="shared" si="10"/>
        <v>0</v>
      </c>
      <c r="W21" s="141">
        <f t="shared" si="10"/>
        <v>0</v>
      </c>
      <c r="X21" s="141">
        <f t="shared" si="10"/>
        <v>0</v>
      </c>
      <c r="Y21" s="141">
        <f t="shared" ref="Y21" si="11">SUM(Y22:Y25)</f>
        <v>0</v>
      </c>
      <c r="Z21" s="141">
        <f>SUM(Z22:Z25)</f>
        <v>0</v>
      </c>
    </row>
    <row r="22" spans="1:26" s="131" customFormat="1">
      <c r="A22" s="39" t="s">
        <v>25</v>
      </c>
      <c r="B22" s="142">
        <v>0</v>
      </c>
      <c r="C22" s="142">
        <v>0</v>
      </c>
      <c r="D22" s="142">
        <v>0</v>
      </c>
      <c r="E22" s="142">
        <v>0</v>
      </c>
      <c r="F22" s="142">
        <v>0</v>
      </c>
      <c r="G22" s="142">
        <v>0</v>
      </c>
      <c r="H22" s="142">
        <v>0</v>
      </c>
      <c r="I22" s="142">
        <v>0</v>
      </c>
      <c r="J22" s="142">
        <v>0</v>
      </c>
      <c r="K22" s="142">
        <v>0</v>
      </c>
      <c r="L22" s="142">
        <v>0</v>
      </c>
      <c r="M22" s="142">
        <v>0</v>
      </c>
      <c r="N22" s="142">
        <v>0</v>
      </c>
      <c r="O22" s="142">
        <v>0</v>
      </c>
      <c r="P22" s="142">
        <v>0</v>
      </c>
      <c r="Q22" s="142">
        <v>0</v>
      </c>
      <c r="R22" s="142">
        <v>0</v>
      </c>
      <c r="S22" s="142">
        <v>0</v>
      </c>
      <c r="T22" s="142">
        <v>0</v>
      </c>
      <c r="U22" s="142">
        <v>0</v>
      </c>
      <c r="V22" s="142">
        <v>0</v>
      </c>
      <c r="W22" s="142">
        <v>0</v>
      </c>
      <c r="X22" s="142">
        <v>0</v>
      </c>
      <c r="Y22" s="142">
        <v>0</v>
      </c>
      <c r="Z22" s="142">
        <v>0</v>
      </c>
    </row>
    <row r="23" spans="1:26" s="131" customFormat="1">
      <c r="A23" s="39" t="s">
        <v>26</v>
      </c>
      <c r="B23" s="142">
        <v>124</v>
      </c>
      <c r="C23" s="142">
        <v>0</v>
      </c>
      <c r="D23" s="142">
        <v>0</v>
      </c>
      <c r="E23" s="142">
        <v>177.51747957424126</v>
      </c>
      <c r="F23" s="142">
        <v>0</v>
      </c>
      <c r="G23" s="142">
        <v>0</v>
      </c>
      <c r="H23" s="142">
        <v>0</v>
      </c>
      <c r="I23" s="142">
        <v>0</v>
      </c>
      <c r="J23" s="142">
        <v>2209.9896461742173</v>
      </c>
      <c r="K23" s="142">
        <v>0</v>
      </c>
      <c r="L23" s="142">
        <v>0</v>
      </c>
      <c r="M23" s="142">
        <v>0</v>
      </c>
      <c r="N23" s="142">
        <v>0</v>
      </c>
      <c r="O23" s="142">
        <v>0</v>
      </c>
      <c r="P23" s="142">
        <v>0</v>
      </c>
      <c r="Q23" s="142">
        <v>0</v>
      </c>
      <c r="R23" s="142">
        <v>0</v>
      </c>
      <c r="S23" s="142">
        <v>0</v>
      </c>
      <c r="T23" s="142">
        <v>0</v>
      </c>
      <c r="U23" s="142">
        <v>0</v>
      </c>
      <c r="V23" s="142">
        <v>0</v>
      </c>
      <c r="W23" s="142">
        <v>0</v>
      </c>
      <c r="X23" s="142">
        <v>0</v>
      </c>
      <c r="Y23" s="142">
        <v>0</v>
      </c>
      <c r="Z23" s="142">
        <v>0</v>
      </c>
    </row>
    <row r="24" spans="1:26" s="131" customFormat="1">
      <c r="A24" s="39" t="s">
        <v>27</v>
      </c>
      <c r="B24" s="142">
        <v>0</v>
      </c>
      <c r="C24" s="142">
        <v>0</v>
      </c>
      <c r="D24" s="142">
        <v>0</v>
      </c>
      <c r="E24" s="142">
        <v>0</v>
      </c>
      <c r="F24" s="142">
        <v>0</v>
      </c>
      <c r="G24" s="142">
        <v>0</v>
      </c>
      <c r="H24" s="142">
        <v>0</v>
      </c>
      <c r="I24" s="142">
        <v>0</v>
      </c>
      <c r="J24" s="142">
        <v>0</v>
      </c>
      <c r="K24" s="142">
        <v>0</v>
      </c>
      <c r="L24" s="142">
        <v>0</v>
      </c>
      <c r="M24" s="142">
        <v>0</v>
      </c>
      <c r="N24" s="142">
        <v>0</v>
      </c>
      <c r="O24" s="142">
        <v>2.1105997249346267</v>
      </c>
      <c r="P24" s="142">
        <v>0</v>
      </c>
      <c r="Q24" s="142">
        <v>0</v>
      </c>
      <c r="R24" s="142">
        <v>0</v>
      </c>
      <c r="S24" s="142">
        <v>0</v>
      </c>
      <c r="T24" s="142">
        <v>0</v>
      </c>
      <c r="U24" s="142">
        <v>0</v>
      </c>
      <c r="V24" s="142">
        <v>0</v>
      </c>
      <c r="W24" s="142">
        <v>0</v>
      </c>
      <c r="X24" s="142">
        <v>0</v>
      </c>
      <c r="Y24" s="142">
        <v>0</v>
      </c>
      <c r="Z24" s="142">
        <v>0</v>
      </c>
    </row>
    <row r="25" spans="1:26" s="131" customFormat="1">
      <c r="A25" s="39" t="s">
        <v>28</v>
      </c>
      <c r="B25" s="142">
        <v>0</v>
      </c>
      <c r="C25" s="142">
        <v>0</v>
      </c>
      <c r="D25" s="142">
        <v>0</v>
      </c>
      <c r="E25" s="142">
        <v>0</v>
      </c>
      <c r="F25" s="142">
        <v>0</v>
      </c>
      <c r="G25" s="142">
        <v>0</v>
      </c>
      <c r="H25" s="142">
        <v>0</v>
      </c>
      <c r="I25" s="142">
        <v>0</v>
      </c>
      <c r="J25" s="142">
        <v>0</v>
      </c>
      <c r="K25" s="142">
        <v>0</v>
      </c>
      <c r="L25" s="142">
        <v>0</v>
      </c>
      <c r="M25" s="142">
        <v>0</v>
      </c>
      <c r="N25" s="142">
        <v>0</v>
      </c>
      <c r="O25" s="142">
        <v>0</v>
      </c>
      <c r="P25" s="142">
        <v>0</v>
      </c>
      <c r="Q25" s="142">
        <v>0</v>
      </c>
      <c r="R25" s="142">
        <v>0</v>
      </c>
      <c r="S25" s="142">
        <v>0</v>
      </c>
      <c r="T25" s="142">
        <v>0</v>
      </c>
      <c r="U25" s="142">
        <v>0</v>
      </c>
      <c r="V25" s="142">
        <v>0</v>
      </c>
      <c r="W25" s="142">
        <v>0</v>
      </c>
      <c r="X25" s="142">
        <v>0</v>
      </c>
      <c r="Y25" s="142">
        <v>0</v>
      </c>
      <c r="Z25" s="142">
        <v>0</v>
      </c>
    </row>
    <row r="26" spans="1:26" s="131" customFormat="1">
      <c r="A26" s="126" t="s">
        <v>23</v>
      </c>
      <c r="B26" s="142">
        <v>37.321767999999999</v>
      </c>
      <c r="C26" s="142">
        <v>1.8224155074399997</v>
      </c>
      <c r="D26" s="142">
        <v>421.99252051064337</v>
      </c>
      <c r="E26" s="142">
        <v>93.782907383136973</v>
      </c>
      <c r="F26" s="142">
        <v>308.83057544461013</v>
      </c>
      <c r="G26" s="142">
        <v>52.034144309999995</v>
      </c>
      <c r="H26" s="142">
        <v>49.791389143563521</v>
      </c>
      <c r="I26" s="142">
        <v>106.81394501042469</v>
      </c>
      <c r="J26" s="142">
        <v>324.53945096343836</v>
      </c>
      <c r="K26" s="142">
        <v>48.106411811624817</v>
      </c>
      <c r="L26" s="142">
        <v>76.422176216885731</v>
      </c>
      <c r="M26" s="142">
        <v>59.239949908017138</v>
      </c>
      <c r="N26" s="142">
        <v>239.41423444432965</v>
      </c>
      <c r="O26" s="142">
        <v>37.936812602969333</v>
      </c>
      <c r="P26" s="142">
        <v>39.60873211060899</v>
      </c>
      <c r="Q26" s="142">
        <v>33.66940470108333</v>
      </c>
      <c r="R26" s="142">
        <v>14.065634387666666</v>
      </c>
      <c r="S26" s="142">
        <v>193.45660167308998</v>
      </c>
      <c r="T26" s="142">
        <v>9.3419344904166657</v>
      </c>
      <c r="U26" s="142">
        <v>7.7656347145833333</v>
      </c>
      <c r="V26" s="142">
        <v>6.501570862859718</v>
      </c>
      <c r="W26" s="142">
        <v>5.3270411052883562</v>
      </c>
      <c r="X26" s="142">
        <v>6.7831926811999992</v>
      </c>
      <c r="Y26" s="142">
        <v>6.4297160724999989</v>
      </c>
      <c r="Z26" s="142">
        <v>0</v>
      </c>
    </row>
    <row r="27" spans="1:26" s="131" customFormat="1" ht="15.75" thickBot="1">
      <c r="A27" s="127" t="s">
        <v>32</v>
      </c>
      <c r="B27" s="144">
        <v>0</v>
      </c>
      <c r="C27" s="144">
        <v>0</v>
      </c>
      <c r="D27" s="144">
        <v>45</v>
      </c>
      <c r="E27" s="144">
        <v>0</v>
      </c>
      <c r="F27" s="144">
        <v>0</v>
      </c>
      <c r="G27" s="144">
        <v>0</v>
      </c>
      <c r="H27" s="144">
        <v>0</v>
      </c>
      <c r="I27" s="144">
        <v>0</v>
      </c>
      <c r="J27" s="144">
        <v>0</v>
      </c>
      <c r="K27" s="144">
        <v>0</v>
      </c>
      <c r="L27" s="144">
        <v>0</v>
      </c>
      <c r="M27" s="144">
        <v>0</v>
      </c>
      <c r="N27" s="144">
        <v>0</v>
      </c>
      <c r="O27" s="144">
        <v>0</v>
      </c>
      <c r="P27" s="144">
        <v>0</v>
      </c>
      <c r="Q27" s="144">
        <v>0</v>
      </c>
      <c r="R27" s="144">
        <v>0</v>
      </c>
      <c r="S27" s="144">
        <v>0</v>
      </c>
      <c r="T27" s="144">
        <v>0</v>
      </c>
      <c r="U27" s="144">
        <v>0</v>
      </c>
      <c r="V27" s="144">
        <v>0</v>
      </c>
      <c r="W27" s="144">
        <v>0</v>
      </c>
      <c r="X27" s="144">
        <v>0</v>
      </c>
      <c r="Y27" s="144">
        <v>0</v>
      </c>
      <c r="Z27" s="144">
        <v>0</v>
      </c>
    </row>
    <row r="28" spans="1:26" s="131" customFormat="1">
      <c r="A28" s="128" t="s">
        <v>243</v>
      </c>
      <c r="B28" s="143">
        <v>0</v>
      </c>
      <c r="C28" s="143">
        <v>0.4</v>
      </c>
      <c r="D28" s="143">
        <v>0.69300336379519634</v>
      </c>
      <c r="E28" s="143">
        <v>0.8495266664075477</v>
      </c>
      <c r="F28" s="143">
        <v>0.71775987885857317</v>
      </c>
      <c r="G28" s="143">
        <v>1.0008083106064651</v>
      </c>
      <c r="H28" s="143">
        <v>7.0533686608369298E-2</v>
      </c>
      <c r="I28" s="143">
        <v>0.93602391795958584</v>
      </c>
      <c r="J28" s="143">
        <v>0.64485433191591679</v>
      </c>
      <c r="K28" s="143">
        <v>1.0134311265471552</v>
      </c>
      <c r="L28" s="143">
        <v>0.86107469957551031</v>
      </c>
      <c r="M28" s="143">
        <v>0.75692683114240289</v>
      </c>
      <c r="N28" s="143">
        <v>0.64467640172596818</v>
      </c>
      <c r="O28" s="143">
        <v>0.61534845242551295</v>
      </c>
      <c r="P28" s="143">
        <v>0.67285525158399162</v>
      </c>
      <c r="Q28" s="143">
        <v>0.95194541274102507</v>
      </c>
      <c r="R28" s="143">
        <v>0.12114753123041291</v>
      </c>
      <c r="S28" s="143">
        <v>0.32607294600814185</v>
      </c>
      <c r="T28" s="143">
        <v>0.58124629552609008</v>
      </c>
      <c r="U28" s="143">
        <v>0</v>
      </c>
      <c r="V28" s="143">
        <v>0</v>
      </c>
      <c r="W28" s="143">
        <v>0</v>
      </c>
      <c r="X28" s="143">
        <v>0</v>
      </c>
      <c r="Y28" s="143">
        <v>0</v>
      </c>
      <c r="Z28" s="143">
        <v>0</v>
      </c>
    </row>
    <row r="29" spans="1:26" s="131" customFormat="1">
      <c r="A29" s="129" t="s">
        <v>244</v>
      </c>
      <c r="B29" s="139">
        <v>1</v>
      </c>
      <c r="C29" s="139">
        <v>0.9</v>
      </c>
      <c r="D29" s="139">
        <v>1.0025282432194631</v>
      </c>
      <c r="E29" s="139">
        <v>0.95911648794278648</v>
      </c>
      <c r="F29" s="139">
        <v>0.89552320949694786</v>
      </c>
      <c r="G29" s="139">
        <v>1.0135002680172778</v>
      </c>
      <c r="H29" s="139">
        <v>0.75533247335787013</v>
      </c>
      <c r="I29" s="139">
        <v>0.98263175309254858</v>
      </c>
      <c r="J29" s="139">
        <v>0.86357386318296092</v>
      </c>
      <c r="K29" s="139">
        <v>1.0553032970367136</v>
      </c>
      <c r="L29" s="139">
        <v>0.99489216211180664</v>
      </c>
      <c r="M29" s="139">
        <v>0.90394216933557836</v>
      </c>
      <c r="N29" s="139">
        <v>0.99184851555039644</v>
      </c>
      <c r="O29" s="139">
        <v>0.70789724521183883</v>
      </c>
      <c r="P29" s="139">
        <v>0.76612622292363175</v>
      </c>
      <c r="Q29" s="139">
        <v>1.0457242200824535</v>
      </c>
      <c r="R29" s="139">
        <v>0.80398439098404439</v>
      </c>
      <c r="S29" s="139">
        <v>0.93036602995204787</v>
      </c>
      <c r="T29" s="139">
        <v>0.94520691065398299</v>
      </c>
      <c r="U29" s="139">
        <v>1.0000000000000018</v>
      </c>
      <c r="V29" s="139">
        <v>1.0384402814131051</v>
      </c>
      <c r="W29" s="139">
        <v>0.53535910119360242</v>
      </c>
      <c r="X29" s="139">
        <v>0.34382996104910413</v>
      </c>
      <c r="Y29" s="139">
        <v>0.79955761355183841</v>
      </c>
      <c r="Z29" s="139">
        <v>1</v>
      </c>
    </row>
    <row r="30" spans="1:26" s="131" customFormat="1" ht="46.35" customHeight="1">
      <c r="A30" s="134" t="s">
        <v>245</v>
      </c>
      <c r="B30" s="232" t="s">
        <v>246</v>
      </c>
      <c r="C30" s="232" t="s">
        <v>247</v>
      </c>
      <c r="D30" s="232"/>
      <c r="E30" s="232" t="s">
        <v>248</v>
      </c>
      <c r="F30" s="232"/>
      <c r="G30" s="232"/>
      <c r="H30" s="232"/>
      <c r="I30" s="232"/>
      <c r="J30" s="232"/>
      <c r="K30" s="232"/>
      <c r="L30" s="120"/>
      <c r="M30" s="120"/>
      <c r="N30" s="120"/>
      <c r="O30" s="120" t="s">
        <v>249</v>
      </c>
      <c r="P30" s="120"/>
      <c r="Q30" s="120"/>
      <c r="R30" s="120"/>
      <c r="S30" s="120"/>
      <c r="T30" s="232" t="s">
        <v>250</v>
      </c>
      <c r="U30" s="120"/>
      <c r="V30" s="120"/>
      <c r="W30" s="120"/>
      <c r="X30" s="120"/>
      <c r="Y30" s="120"/>
      <c r="Z30" s="98" t="s">
        <v>251</v>
      </c>
    </row>
    <row r="31" spans="1:26" s="131" customFormat="1" ht="45.6" customHeight="1">
      <c r="A31" s="134" t="s">
        <v>252</v>
      </c>
      <c r="B31" s="286" t="s">
        <v>253</v>
      </c>
      <c r="C31" s="232" t="s">
        <v>254</v>
      </c>
      <c r="D31" s="232" t="s">
        <v>255</v>
      </c>
      <c r="E31" s="232" t="s">
        <v>256</v>
      </c>
      <c r="F31" s="232" t="s">
        <v>255</v>
      </c>
      <c r="G31" s="232" t="s">
        <v>255</v>
      </c>
      <c r="H31" s="232" t="s">
        <v>255</v>
      </c>
      <c r="I31" s="232" t="s">
        <v>255</v>
      </c>
      <c r="J31" s="232" t="s">
        <v>255</v>
      </c>
      <c r="K31" s="232" t="s">
        <v>255</v>
      </c>
      <c r="L31" s="232" t="s">
        <v>255</v>
      </c>
      <c r="M31" s="232" t="s">
        <v>255</v>
      </c>
      <c r="N31" s="232" t="s">
        <v>255</v>
      </c>
      <c r="O31" s="232" t="s">
        <v>257</v>
      </c>
      <c r="P31" s="232" t="s">
        <v>255</v>
      </c>
      <c r="Q31" s="232" t="s">
        <v>255</v>
      </c>
      <c r="R31" s="232" t="s">
        <v>255</v>
      </c>
      <c r="S31" s="232" t="s">
        <v>255</v>
      </c>
      <c r="T31" s="120" t="s">
        <v>256</v>
      </c>
      <c r="U31" s="120" t="s">
        <v>258</v>
      </c>
      <c r="V31" s="232" t="s">
        <v>259</v>
      </c>
      <c r="W31" s="232" t="s">
        <v>259</v>
      </c>
      <c r="X31" s="232" t="s">
        <v>259</v>
      </c>
      <c r="Y31" s="232" t="s">
        <v>259</v>
      </c>
      <c r="Z31" s="98" t="s">
        <v>260</v>
      </c>
    </row>
    <row r="32" spans="1:26" s="131" customFormat="1" ht="46.35" customHeight="1">
      <c r="A32" s="134" t="s">
        <v>261</v>
      </c>
      <c r="B32" s="287"/>
      <c r="C32" s="232" t="s">
        <v>262</v>
      </c>
      <c r="D32" s="232" t="s">
        <v>263</v>
      </c>
      <c r="E32" s="232" t="s">
        <v>264</v>
      </c>
      <c r="F32" s="232" t="s">
        <v>265</v>
      </c>
      <c r="G32" s="232" t="s">
        <v>265</v>
      </c>
      <c r="H32" s="232" t="s">
        <v>265</v>
      </c>
      <c r="I32" s="232" t="s">
        <v>265</v>
      </c>
      <c r="J32" s="232" t="s">
        <v>265</v>
      </c>
      <c r="K32" s="232" t="s">
        <v>266</v>
      </c>
      <c r="L32" s="232" t="s">
        <v>267</v>
      </c>
      <c r="M32" s="232" t="s">
        <v>268</v>
      </c>
      <c r="N32" s="232" t="s">
        <v>265</v>
      </c>
      <c r="O32" s="232" t="s">
        <v>269</v>
      </c>
      <c r="P32" s="232" t="s">
        <v>265</v>
      </c>
      <c r="Q32" s="232" t="s">
        <v>265</v>
      </c>
      <c r="R32" s="232" t="s">
        <v>265</v>
      </c>
      <c r="S32" s="232" t="s">
        <v>265</v>
      </c>
      <c r="T32" s="120" t="s">
        <v>264</v>
      </c>
      <c r="U32" s="232" t="s">
        <v>270</v>
      </c>
      <c r="V32" s="120" t="s">
        <v>264</v>
      </c>
      <c r="W32" s="120" t="s">
        <v>264</v>
      </c>
      <c r="X32" s="120" t="s">
        <v>264</v>
      </c>
      <c r="Y32" s="120" t="s">
        <v>264</v>
      </c>
      <c r="Z32" s="121" t="s">
        <v>264</v>
      </c>
    </row>
    <row r="33" spans="1:26" s="131" customFormat="1" ht="46.35" customHeight="1">
      <c r="A33" s="134" t="s">
        <v>271</v>
      </c>
      <c r="B33" s="288"/>
      <c r="C33" s="232" t="s">
        <v>272</v>
      </c>
      <c r="D33" s="232" t="s">
        <v>265</v>
      </c>
      <c r="E33" s="232" t="s">
        <v>264</v>
      </c>
      <c r="F33" s="232" t="s">
        <v>265</v>
      </c>
      <c r="G33" s="232" t="s">
        <v>265</v>
      </c>
      <c r="H33" s="232" t="s">
        <v>265</v>
      </c>
      <c r="I33" s="232" t="s">
        <v>265</v>
      </c>
      <c r="J33" s="232" t="s">
        <v>265</v>
      </c>
      <c r="K33" s="232"/>
      <c r="L33" s="120"/>
      <c r="M33" s="120"/>
      <c r="N33" s="232" t="s">
        <v>265</v>
      </c>
      <c r="O33" s="232" t="s">
        <v>273</v>
      </c>
      <c r="P33" s="232" t="s">
        <v>265</v>
      </c>
      <c r="Q33" s="232" t="s">
        <v>265</v>
      </c>
      <c r="R33" s="232" t="s">
        <v>265</v>
      </c>
      <c r="S33" s="232" t="s">
        <v>265</v>
      </c>
      <c r="T33" s="120" t="s">
        <v>264</v>
      </c>
      <c r="U33" s="232" t="s">
        <v>274</v>
      </c>
      <c r="V33" s="120" t="s">
        <v>264</v>
      </c>
      <c r="W33" s="120" t="s">
        <v>264</v>
      </c>
      <c r="X33" s="120" t="s">
        <v>264</v>
      </c>
      <c r="Y33" s="120" t="s">
        <v>264</v>
      </c>
      <c r="Z33" s="121" t="s">
        <v>264</v>
      </c>
    </row>
    <row r="34" spans="1:26" s="131" customFormat="1">
      <c r="A34" s="129" t="s">
        <v>275</v>
      </c>
      <c r="B34" s="142">
        <v>0</v>
      </c>
      <c r="C34" s="142">
        <v>0</v>
      </c>
      <c r="D34" s="142">
        <v>1762.1060000000002</v>
      </c>
      <c r="E34" s="142">
        <v>0</v>
      </c>
      <c r="F34" s="142">
        <v>1268.9237099999998</v>
      </c>
      <c r="G34" s="142">
        <v>0</v>
      </c>
      <c r="H34" s="142">
        <v>601.30094555947755</v>
      </c>
      <c r="I34" s="142">
        <v>319.39752506503356</v>
      </c>
      <c r="J34" s="142">
        <v>983.8827663492882</v>
      </c>
      <c r="K34" s="142">
        <v>69.086588080686141</v>
      </c>
      <c r="L34" s="142">
        <v>429.54931830133728</v>
      </c>
      <c r="M34" s="142">
        <v>88.236502229094512</v>
      </c>
      <c r="N34" s="142">
        <v>1239.6222000000002</v>
      </c>
      <c r="O34" s="142">
        <v>91.861380303144657</v>
      </c>
      <c r="P34" s="142">
        <v>123.4405</v>
      </c>
      <c r="Q34" s="142">
        <v>0</v>
      </c>
      <c r="R34" s="142">
        <v>228.44199999999995</v>
      </c>
      <c r="S34" s="142">
        <v>1348.4578035658399</v>
      </c>
      <c r="T34" s="142">
        <v>0</v>
      </c>
      <c r="U34" s="142">
        <v>0</v>
      </c>
      <c r="V34" s="142">
        <v>370.58041386896457</v>
      </c>
      <c r="W34" s="142">
        <v>199.27974846941777</v>
      </c>
      <c r="X34" s="142">
        <v>135.87224999999998</v>
      </c>
      <c r="Y34" s="142">
        <v>178.37950000000001</v>
      </c>
      <c r="Z34" s="142">
        <v>0</v>
      </c>
    </row>
    <row r="35" spans="1:26" s="131" customFormat="1">
      <c r="A35" s="129" t="s">
        <v>276</v>
      </c>
      <c r="B35" s="135">
        <v>46690</v>
      </c>
      <c r="C35" s="135">
        <v>45596</v>
      </c>
      <c r="D35" s="135">
        <v>45504</v>
      </c>
      <c r="E35" s="135">
        <v>45229</v>
      </c>
      <c r="F35" s="135">
        <v>45260</v>
      </c>
      <c r="G35" s="135">
        <v>45291</v>
      </c>
      <c r="H35" s="135">
        <v>45412</v>
      </c>
      <c r="I35" s="135">
        <v>45380</v>
      </c>
      <c r="J35" s="135">
        <v>45289</v>
      </c>
      <c r="K35" s="135">
        <v>45260</v>
      </c>
      <c r="L35" s="135">
        <v>45412</v>
      </c>
      <c r="M35" s="135">
        <v>45230</v>
      </c>
      <c r="N35" s="135">
        <v>45260</v>
      </c>
      <c r="O35" s="135">
        <v>45199</v>
      </c>
      <c r="P35" s="135">
        <v>45230</v>
      </c>
      <c r="Q35" s="135">
        <v>45256</v>
      </c>
      <c r="R35" s="135">
        <v>45291</v>
      </c>
      <c r="S35" s="135">
        <v>45565</v>
      </c>
      <c r="T35" s="135">
        <v>45473</v>
      </c>
      <c r="U35" s="135">
        <v>46203</v>
      </c>
      <c r="V35" s="135">
        <v>45505</v>
      </c>
      <c r="W35" s="135">
        <v>45597</v>
      </c>
      <c r="X35" s="135">
        <v>45717</v>
      </c>
      <c r="Y35" s="135">
        <v>45505</v>
      </c>
      <c r="Z35" s="135">
        <v>45931</v>
      </c>
    </row>
    <row r="36" spans="1:26" s="131" customFormat="1" ht="15.75" thickBot="1">
      <c r="A36" s="130" t="s">
        <v>277</v>
      </c>
      <c r="B36" s="136">
        <v>3</v>
      </c>
      <c r="C36" s="136">
        <v>7</v>
      </c>
      <c r="D36" s="136">
        <v>7</v>
      </c>
      <c r="E36" s="136">
        <v>7</v>
      </c>
      <c r="F36" s="136">
        <v>10</v>
      </c>
      <c r="G36" s="136">
        <v>7</v>
      </c>
      <c r="H36" s="136">
        <v>5</v>
      </c>
      <c r="I36" s="136">
        <v>10</v>
      </c>
      <c r="J36" s="136">
        <v>10</v>
      </c>
      <c r="K36" s="136">
        <v>10</v>
      </c>
      <c r="L36" s="136">
        <v>5</v>
      </c>
      <c r="M36" s="136">
        <v>3</v>
      </c>
      <c r="N36" s="136">
        <v>10</v>
      </c>
      <c r="O36" s="136">
        <v>5</v>
      </c>
      <c r="P36" s="136">
        <v>7</v>
      </c>
      <c r="Q36" s="136">
        <v>5</v>
      </c>
      <c r="R36" s="136">
        <v>10</v>
      </c>
      <c r="S36" s="136">
        <v>5</v>
      </c>
      <c r="T36" s="136">
        <v>5</v>
      </c>
      <c r="U36" s="136">
        <v>7</v>
      </c>
      <c r="V36" s="136">
        <v>10</v>
      </c>
      <c r="W36" s="136">
        <v>10</v>
      </c>
      <c r="X36" s="136">
        <v>10</v>
      </c>
      <c r="Y36" s="136">
        <v>10</v>
      </c>
      <c r="Z36" s="136">
        <v>0</v>
      </c>
    </row>
    <row r="40" spans="1:26">
      <c r="B40" s="133"/>
      <c r="C40" s="133"/>
      <c r="D40" s="133"/>
      <c r="E40" s="133"/>
      <c r="F40" s="133"/>
      <c r="G40" s="133"/>
      <c r="H40" s="133"/>
      <c r="I40" s="133"/>
      <c r="J40" s="133"/>
      <c r="K40" s="133"/>
      <c r="L40" s="133"/>
      <c r="M40" s="133"/>
      <c r="N40" s="133"/>
      <c r="O40" s="133"/>
      <c r="P40" s="133"/>
      <c r="Q40" s="133"/>
      <c r="R40" s="133"/>
      <c r="S40" s="133"/>
      <c r="T40" s="133"/>
      <c r="U40" s="133"/>
      <c r="V40" s="133"/>
      <c r="W40" s="133"/>
      <c r="X40" s="133"/>
      <c r="Y40" s="133"/>
      <c r="Z40" s="133"/>
    </row>
    <row r="41" spans="1:26">
      <c r="B41" s="133"/>
      <c r="C41" s="133"/>
      <c r="D41" s="133"/>
      <c r="E41" s="133"/>
      <c r="F41" s="133"/>
      <c r="G41" s="133"/>
      <c r="H41" s="133"/>
      <c r="I41" s="133"/>
      <c r="J41" s="133"/>
      <c r="K41" s="133"/>
      <c r="L41" s="133"/>
      <c r="M41" s="133"/>
      <c r="N41" s="133"/>
      <c r="O41" s="133"/>
      <c r="P41" s="133"/>
      <c r="Q41" s="133"/>
      <c r="R41" s="133"/>
      <c r="S41" s="133"/>
      <c r="T41" s="133"/>
      <c r="U41" s="133"/>
      <c r="V41" s="133"/>
      <c r="W41" s="133"/>
      <c r="X41" s="133"/>
      <c r="Y41" s="133"/>
      <c r="Z41" s="133"/>
    </row>
  </sheetData>
  <mergeCells count="2">
    <mergeCell ref="A4:G4"/>
    <mergeCell ref="B31:B33"/>
  </mergeCells>
  <pageMargins left="0.7" right="0.7" top="0.75" bottom="0.75" header="0.3" footer="0.3"/>
  <pageSetup paperSize="9" orientation="portrait" r:id="rId1"/>
  <ignoredErrors>
    <ignoredError sqref="B12:Z13 B15:C15" unlockedFormula="1"/>
    <ignoredError sqref="B21:Z21 B16:Z16" formulaRange="1" unlockedFormula="1"/>
  </ignoredErrors>
  <legacyDrawing r:id="rId2"/>
  <extLst>
    <ext xmlns:x14="http://schemas.microsoft.com/office/spreadsheetml/2009/9/main" uri="{CCE6A557-97BC-4b89-ADB6-D9C93CAAB3DF}">
      <x14:dataValidations xmlns:xm="http://schemas.microsoft.com/office/excel/2006/main" disablePrompts="1" count="3">
        <x14:dataValidation type="list" allowBlank="1" showInputMessage="1" showErrorMessage="1" xr:uid="{B08D75F7-9269-4845-8A01-72EFA99EC273}">
          <x14:formula1>
            <xm:f>REFERENCE!$A$30:$A$31</xm:f>
          </x14:formula1>
          <xm:sqref>Z5</xm:sqref>
        </x14:dataValidation>
        <x14:dataValidation type="list" allowBlank="1" showInputMessage="1" showErrorMessage="1" xr:uid="{C3F22AFD-ED0C-4F86-A2E5-DAC7FF26D8BD}">
          <x14:formula1>
            <xm:f>REFERENCE!$A$34:$A$35</xm:f>
          </x14:formula1>
          <xm:sqref>Z7</xm:sqref>
        </x14:dataValidation>
        <x14:dataValidation type="list" allowBlank="1" showInputMessage="1" showErrorMessage="1" xr:uid="{C2E1634C-C54A-4E36-B8C2-62BC2C03906C}">
          <x14:formula1>
            <xm:f>REFERENCE!$A$22:$A$27</xm:f>
          </x14:formula1>
          <xm:sqref>Y14:Z14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71742D-7A10-472E-BE5F-2FA9FF3E5554}">
  <sheetPr>
    <tabColor rgb="FF9933FF"/>
  </sheetPr>
  <dimension ref="A5:D41"/>
  <sheetViews>
    <sheetView topLeftCell="A19" zoomScaleNormal="100" workbookViewId="0">
      <selection activeCell="I22" sqref="I22"/>
    </sheetView>
  </sheetViews>
  <sheetFormatPr defaultRowHeight="15"/>
  <cols>
    <col min="1" max="1" width="27.5703125" bestFit="1" customWidth="1"/>
    <col min="2" max="2" width="22.5703125" bestFit="1" customWidth="1"/>
    <col min="3" max="3" width="18.5703125" bestFit="1" customWidth="1"/>
  </cols>
  <sheetData>
    <row r="5" spans="1:4">
      <c r="A5" t="s">
        <v>278</v>
      </c>
    </row>
    <row r="6" spans="1:4">
      <c r="A6" t="s">
        <v>279</v>
      </c>
    </row>
    <row r="7" spans="1:4">
      <c r="A7" t="s">
        <v>280</v>
      </c>
    </row>
    <row r="8" spans="1:4">
      <c r="A8" t="s">
        <v>281</v>
      </c>
    </row>
    <row r="10" spans="1:4">
      <c r="A10" t="s">
        <v>282</v>
      </c>
      <c r="B10" t="s">
        <v>278</v>
      </c>
      <c r="C10" t="s">
        <v>283</v>
      </c>
      <c r="D10" t="s">
        <v>284</v>
      </c>
    </row>
    <row r="11" spans="1:4">
      <c r="A11" t="s">
        <v>285</v>
      </c>
      <c r="B11" t="s">
        <v>279</v>
      </c>
      <c r="C11" t="s">
        <v>286</v>
      </c>
      <c r="D11" t="str">
        <f>LEFT(A11,4)</f>
        <v>2022</v>
      </c>
    </row>
    <row r="12" spans="1:4">
      <c r="A12" t="s">
        <v>108</v>
      </c>
      <c r="B12" t="s">
        <v>279</v>
      </c>
      <c r="C12" t="s">
        <v>285</v>
      </c>
      <c r="D12" t="str">
        <f t="shared" ref="D12:D19" si="0">LEFT(A12,4)</f>
        <v>2023</v>
      </c>
    </row>
    <row r="13" spans="1:4">
      <c r="A13" t="s">
        <v>109</v>
      </c>
      <c r="B13" t="s">
        <v>279</v>
      </c>
      <c r="C13" t="s">
        <v>108</v>
      </c>
      <c r="D13" t="str">
        <f t="shared" si="0"/>
        <v>2024</v>
      </c>
    </row>
    <row r="14" spans="1:4">
      <c r="A14" t="s">
        <v>110</v>
      </c>
      <c r="B14" t="s">
        <v>280</v>
      </c>
      <c r="C14" t="s">
        <v>109</v>
      </c>
      <c r="D14" t="str">
        <f t="shared" si="0"/>
        <v>2025</v>
      </c>
    </row>
    <row r="15" spans="1:4">
      <c r="A15" t="s">
        <v>111</v>
      </c>
      <c r="B15" t="s">
        <v>280</v>
      </c>
      <c r="C15" t="s">
        <v>110</v>
      </c>
      <c r="D15" t="str">
        <f t="shared" si="0"/>
        <v>2026</v>
      </c>
    </row>
    <row r="16" spans="1:4">
      <c r="A16" t="s">
        <v>113</v>
      </c>
      <c r="B16" t="s">
        <v>280</v>
      </c>
      <c r="C16" t="s">
        <v>111</v>
      </c>
      <c r="D16" t="str">
        <f t="shared" si="0"/>
        <v>2028</v>
      </c>
    </row>
    <row r="17" spans="1:4">
      <c r="A17" t="s">
        <v>114</v>
      </c>
      <c r="B17" t="s">
        <v>281</v>
      </c>
      <c r="C17" t="s">
        <v>113</v>
      </c>
      <c r="D17" t="str">
        <f t="shared" si="0"/>
        <v>2029</v>
      </c>
    </row>
    <row r="18" spans="1:4">
      <c r="A18" t="s">
        <v>115</v>
      </c>
      <c r="B18" t="s">
        <v>281</v>
      </c>
      <c r="C18" t="s">
        <v>114</v>
      </c>
      <c r="D18" t="str">
        <f t="shared" si="0"/>
        <v>2030</v>
      </c>
    </row>
    <row r="19" spans="1:4">
      <c r="A19" t="s">
        <v>116</v>
      </c>
      <c r="B19" t="s">
        <v>281</v>
      </c>
      <c r="C19" t="s">
        <v>115</v>
      </c>
      <c r="D19" t="str">
        <f t="shared" si="0"/>
        <v>2031</v>
      </c>
    </row>
    <row r="21" spans="1:4">
      <c r="A21" t="s">
        <v>241</v>
      </c>
    </row>
    <row r="22" spans="1:4">
      <c r="A22" t="s">
        <v>148</v>
      </c>
    </row>
    <row r="23" spans="1:4">
      <c r="A23" t="s">
        <v>123</v>
      </c>
    </row>
    <row r="24" spans="1:4">
      <c r="A24" t="s">
        <v>124</v>
      </c>
    </row>
    <row r="25" spans="1:4">
      <c r="A25" t="s">
        <v>125</v>
      </c>
    </row>
    <row r="26" spans="1:4">
      <c r="A26" t="s">
        <v>126</v>
      </c>
    </row>
    <row r="27" spans="1:4">
      <c r="A27" t="s">
        <v>127</v>
      </c>
    </row>
    <row r="29" spans="1:4">
      <c r="A29" t="s">
        <v>287</v>
      </c>
    </row>
    <row r="30" spans="1:4">
      <c r="A30" t="s">
        <v>130</v>
      </c>
    </row>
    <row r="31" spans="1:4">
      <c r="A31" t="s">
        <v>131</v>
      </c>
    </row>
    <row r="33" spans="1:2">
      <c r="A33" t="s">
        <v>185</v>
      </c>
    </row>
    <row r="34" spans="1:2">
      <c r="A34" t="s">
        <v>186</v>
      </c>
    </row>
    <row r="35" spans="1:2">
      <c r="A35" t="s">
        <v>141</v>
      </c>
    </row>
    <row r="38" spans="1:2">
      <c r="A38" t="s">
        <v>288</v>
      </c>
    </row>
    <row r="39" spans="1:2">
      <c r="A39" t="s">
        <v>289</v>
      </c>
      <c r="B39" t="s">
        <v>290</v>
      </c>
    </row>
    <row r="40" spans="1:2">
      <c r="A40" t="s">
        <v>291</v>
      </c>
      <c r="B40" t="s">
        <v>292</v>
      </c>
    </row>
    <row r="41" spans="1:2">
      <c r="A41" t="s">
        <v>293</v>
      </c>
      <c r="B41" t="s">
        <v>294</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10d6ae87-a4d6-4087-8614-f180f6066e9a">
      <UserInfo>
        <DisplayName>Rebecca Standen</DisplayName>
        <AccountId>243</AccountId>
        <AccountType/>
      </UserInfo>
      <UserInfo>
        <DisplayName>Brooke Edwards</DisplayName>
        <AccountId>345</AccountId>
        <AccountType/>
      </UserInfo>
      <UserInfo>
        <DisplayName>Donna Todesco</DisplayName>
        <AccountId>352</AccountId>
        <AccountType/>
      </UserInfo>
      <UserInfo>
        <DisplayName>James McIntosh</DisplayName>
        <AccountId>416</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25E962F4B35DA4C9A3F9152215129B8" ma:contentTypeVersion="12" ma:contentTypeDescription="Create a new document." ma:contentTypeScope="" ma:versionID="4c89e498931f4d9d5964767764ad9c01">
  <xsd:schema xmlns:xsd="http://www.w3.org/2001/XMLSchema" xmlns:xs="http://www.w3.org/2001/XMLSchema" xmlns:p="http://schemas.microsoft.com/office/2006/metadata/properties" xmlns:ns2="bab6fb7c-576b-4db6-8ecc-74f740bb5663" xmlns:ns3="10d6ae87-a4d6-4087-8614-f180f6066e9a" targetNamespace="http://schemas.microsoft.com/office/2006/metadata/properties" ma:root="true" ma:fieldsID="aa427ed6f560f07ba53de5bc480ed212" ns2:_="" ns3:_="">
    <xsd:import namespace="bab6fb7c-576b-4db6-8ecc-74f740bb5663"/>
    <xsd:import namespace="10d6ae87-a4d6-4087-8614-f180f6066e9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ab6fb7c-576b-4db6-8ecc-74f740bb566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0d6ae87-a4d6-4087-8614-f180f6066e9a"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2CFFAEA-015C-479A-9B90-65B2F13DDBED}"/>
</file>

<file path=customXml/itemProps2.xml><?xml version="1.0" encoding="utf-8"?>
<ds:datastoreItem xmlns:ds="http://schemas.openxmlformats.org/officeDocument/2006/customXml" ds:itemID="{077B4960-F224-42AB-BA8F-22CB48134BF0}"/>
</file>

<file path=customXml/itemProps3.xml><?xml version="1.0" encoding="utf-8"?>
<ds:datastoreItem xmlns:ds="http://schemas.openxmlformats.org/officeDocument/2006/customXml" ds:itemID="{6148ABA1-04C7-41C5-A1FB-61AC02D7A1A2}"/>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Brian Murray</dc:creator>
  <cp:keywords/>
  <dc:description/>
  <cp:lastModifiedBy/>
  <cp:revision/>
  <dcterms:created xsi:type="dcterms:W3CDTF">2023-05-07T23:41:53Z</dcterms:created>
  <dcterms:modified xsi:type="dcterms:W3CDTF">2023-06-30T03:17:18Z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1941c47-a837-430d-8559-fd118a72769e_Enabled">
    <vt:lpwstr>true</vt:lpwstr>
  </property>
  <property fmtid="{D5CDD505-2E9C-101B-9397-08002B2CF9AE}" pid="3" name="MSIP_Label_c1941c47-a837-430d-8559-fd118a72769e_SetDate">
    <vt:lpwstr>2023-05-07T23:41:53Z</vt:lpwstr>
  </property>
  <property fmtid="{D5CDD505-2E9C-101B-9397-08002B2CF9AE}" pid="4" name="MSIP_Label_c1941c47-a837-430d-8559-fd118a72769e_Method">
    <vt:lpwstr>Standard</vt:lpwstr>
  </property>
  <property fmtid="{D5CDD505-2E9C-101B-9397-08002B2CF9AE}" pid="5" name="MSIP_Label_c1941c47-a837-430d-8559-fd118a72769e_Name">
    <vt:lpwstr>Internal</vt:lpwstr>
  </property>
  <property fmtid="{D5CDD505-2E9C-101B-9397-08002B2CF9AE}" pid="6" name="MSIP_Label_c1941c47-a837-430d-8559-fd118a72769e_SiteId">
    <vt:lpwstr>320c999e-3876-4ad0-b401-d241068e9e60</vt:lpwstr>
  </property>
  <property fmtid="{D5CDD505-2E9C-101B-9397-08002B2CF9AE}" pid="7" name="MSIP_Label_c1941c47-a837-430d-8559-fd118a72769e_ActionId">
    <vt:lpwstr>b532455a-862d-4a44-9892-b98cd590e343</vt:lpwstr>
  </property>
  <property fmtid="{D5CDD505-2E9C-101B-9397-08002B2CF9AE}" pid="8" name="MSIP_Label_c1941c47-a837-430d-8559-fd118a72769e_ContentBits">
    <vt:lpwstr>0</vt:lpwstr>
  </property>
  <property fmtid="{D5CDD505-2E9C-101B-9397-08002B2CF9AE}" pid="9" name="ContentTypeId">
    <vt:lpwstr>0x010100425E962F4B35DA4C9A3F9152215129B8</vt:lpwstr>
  </property>
  <property fmtid="{D5CDD505-2E9C-101B-9397-08002B2CF9AE}" pid="10" name="TaxKeyword">
    <vt:lpwstr/>
  </property>
  <property fmtid="{D5CDD505-2E9C-101B-9397-08002B2CF9AE}" pid="11" name="AEMO Collaboration Document Type">
    <vt:lpwstr/>
  </property>
  <property fmtid="{D5CDD505-2E9C-101B-9397-08002B2CF9AE}" pid="12" name="MediaServiceImageTags">
    <vt:lpwstr/>
  </property>
  <property fmtid="{D5CDD505-2E9C-101B-9397-08002B2CF9AE}" pid="13" name="lcf76f155ced4ddcb4097134ff3c332f">
    <vt:lpwstr/>
  </property>
  <property fmtid="{D5CDD505-2E9C-101B-9397-08002B2CF9AE}" pid="14" name="SharedWithUsers">
    <vt:lpwstr>243;#Rebecca Standen;#345;#Brooke Edwards;#352;#Donna Todesco;#416;#James McIntosh</vt:lpwstr>
  </property>
</Properties>
</file>