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0080" windowHeight="4230" activeTab="6"/>
  </bookViews>
  <sheets>
    <sheet name="NSW" sheetId="1" r:id="rId1"/>
    <sheet name="QLD" sheetId="2" r:id="rId2"/>
    <sheet name="SA" sheetId="3" r:id="rId3"/>
    <sheet name="TAS" sheetId="4" r:id="rId4"/>
    <sheet name="VIC" sheetId="5" r:id="rId5"/>
    <sheet name="Region" sheetId="6" r:id="rId6"/>
    <sheet name="MCL" sheetId="7" r:id="rId7"/>
    <sheet name="Misc" sheetId="8" r:id="rId8"/>
  </sheets>
  <definedNames>
    <definedName name="GST">'Misc'!$B$3</definedName>
    <definedName name="NSW_EG">'NSW'!$G$5</definedName>
    <definedName name="NSW_EL">'NSW'!$B$5</definedName>
    <definedName name="NSW_P">'Region'!$G$5</definedName>
    <definedName name="NSW_PCS">'NSW'!$B$64</definedName>
    <definedName name="NSW_PDS">'NSW'!$B$63</definedName>
    <definedName name="NSW_PHH">'Region'!$G$10</definedName>
    <definedName name="NSW_PHHC">'Region'!$L$10</definedName>
    <definedName name="NSW_PRAFG">'NSW'!$G$58</definedName>
    <definedName name="NSW_PRAFL">'NSW'!$B$58</definedName>
    <definedName name="NSW_PRAFR">'NSW'!$L$58</definedName>
    <definedName name="NSW_PRAFRC">'NSW'!$M$58</definedName>
    <definedName name="NSW_RC">'NSW'!$I$5</definedName>
    <definedName name="NSW_RCC">'NSW'!$K$5</definedName>
    <definedName name="NSW_RCD">'NSW'!$B$62</definedName>
    <definedName name="NSW_RCS">'NSW'!$J$5</definedName>
    <definedName name="NSW_RD">'NSW'!$D$5</definedName>
    <definedName name="NSW_RDC">'NSW'!$F$5</definedName>
    <definedName name="NSW_RDD">'NSW'!$B$61</definedName>
    <definedName name="NSW_RDS">'NSW'!$E$5</definedName>
    <definedName name="NSW_RLWP">'Region'!$G$58</definedName>
    <definedName name="NSW_RLWPC">'Region'!$L$58</definedName>
    <definedName name="NSW_VFOSL">'Region'!$C$61</definedName>
    <definedName name="NSW_VFPM">'Region'!$C$62</definedName>
    <definedName name="QLD_EG">'QLD'!$G$5</definedName>
    <definedName name="QLD_EL">'QLD'!$B$5</definedName>
    <definedName name="QLD_P">'Region'!$H$5</definedName>
    <definedName name="QLD_PCS">'QLD'!$B$64</definedName>
    <definedName name="QLD_PDS">'QLD'!$B$63</definedName>
    <definedName name="QLD_PHH">'Region'!$H$10</definedName>
    <definedName name="QLD_PHHC">'Region'!$M$10</definedName>
    <definedName name="QLD_PRAFG">'QLD'!$G$58</definedName>
    <definedName name="QLD_PRAFL">'QLD'!$B$58</definedName>
    <definedName name="QLD_PRAFR">'QLD'!$L$58</definedName>
    <definedName name="QLD_PRAFRC">'QLD'!$M$58</definedName>
    <definedName name="QLD_RC">'QLD'!$I$5</definedName>
    <definedName name="QLD_RCC">'QLD'!$K$5</definedName>
    <definedName name="QLD_RCD">'QLD'!$B$62</definedName>
    <definedName name="QLD_RCS">'QLD'!$J$5</definedName>
    <definedName name="QLD_RD">'QLD'!$D$5</definedName>
    <definedName name="QLD_RDC">'QLD'!$F$5</definedName>
    <definedName name="QLD_RDD">'QLD'!$B$61</definedName>
    <definedName name="QLD_RDS">'QLD'!$E$5</definedName>
    <definedName name="QLD_RLWP">'Region'!$H$58</definedName>
    <definedName name="QLD_RLWPC">'Region'!$M$58</definedName>
    <definedName name="QLD_VFOSL">'Region'!$D$61</definedName>
    <definedName name="QLD_VFPM">'Region'!$D$62</definedName>
    <definedName name="SA_EG">'SA'!$G$5</definedName>
    <definedName name="SA_EL">'SA'!$B$5</definedName>
    <definedName name="SA_P">'Region'!$I$5</definedName>
    <definedName name="SA_PCS">'SA'!$B$64</definedName>
    <definedName name="SA_PDS">'SA'!$B$63</definedName>
    <definedName name="SA_PHH">'Region'!$I$10</definedName>
    <definedName name="SA_PHHC">'Region'!$N$10</definedName>
    <definedName name="SA_PRAFG">'SA'!$G$58</definedName>
    <definedName name="SA_PRAFL">'SA'!$B$58</definedName>
    <definedName name="SA_PRAFR">'SA'!$L$58</definedName>
    <definedName name="SA_PRAFRC">'SA'!$M$58</definedName>
    <definedName name="SA_RC">'SA'!$I$5</definedName>
    <definedName name="SA_RCC">'SA'!$K$5</definedName>
    <definedName name="SA_RCD">'SA'!$B$62</definedName>
    <definedName name="SA_RCS">'SA'!$J$5</definedName>
    <definedName name="SA_RD">'SA'!$D$5</definedName>
    <definedName name="SA_RDC">'SA'!$F$5</definedName>
    <definedName name="SA_RDD">'SA'!$B$61</definedName>
    <definedName name="SA_RDS">'SA'!$E$5</definedName>
    <definedName name="SA_RLWP">'Region'!$I$58</definedName>
    <definedName name="SA_RLWPC">'Region'!$N$58</definedName>
    <definedName name="SA_VFOSL">'Region'!$E$61</definedName>
    <definedName name="SA_VFPM">'Region'!$E$62</definedName>
    <definedName name="TAS_EG">'TAS'!$G$5</definedName>
    <definedName name="TAS_EL">'TAS'!$B$5</definedName>
    <definedName name="TAS_P">'Region'!$J$5</definedName>
    <definedName name="TAS_PCS">'TAS'!$B$64</definedName>
    <definedName name="TAS_PDS">'TAS'!$B$63</definedName>
    <definedName name="TAS_PHH">'Region'!$J$10</definedName>
    <definedName name="TAS_PHHC">'Region'!$O$10</definedName>
    <definedName name="TAS_PRAFG">'TAS'!$G$58</definedName>
    <definedName name="TAS_PRAFL">'TAS'!$B$58</definedName>
    <definedName name="TAS_PRAFR">'TAS'!$L$58</definedName>
    <definedName name="TAS_PRAFRC">'TAS'!$M$58</definedName>
    <definedName name="TAS_RC">'TAS'!$I$5</definedName>
    <definedName name="TAS_RCC">'TAS'!$K$5</definedName>
    <definedName name="TAS_RCD">'TAS'!$B$62</definedName>
    <definedName name="TAS_RCS">'TAS'!$J$5</definedName>
    <definedName name="TAS_RD">'TAS'!$D$5</definedName>
    <definedName name="TAS_RDC">'TAS'!$F$5</definedName>
    <definedName name="TAS_RDD">'TAS'!$B$61</definedName>
    <definedName name="TAS_RDS">'TAS'!$E$5</definedName>
    <definedName name="TAS_RLWP">'Region'!$J$58</definedName>
    <definedName name="TAS_RLWPC">'Region'!$O$58</definedName>
    <definedName name="TAS_VFOSL">'Region'!$F$61</definedName>
    <definedName name="TAS_VFPM">'Region'!$F$62</definedName>
    <definedName name="TOSL">'Misc'!$B$1</definedName>
    <definedName name="TRP">'Misc'!$B$2</definedName>
    <definedName name="VIC_EG">'VIC'!$G$5</definedName>
    <definedName name="VIC_EL">'VIC'!$B$5</definedName>
    <definedName name="VIC_P">'Region'!$K$5</definedName>
    <definedName name="VIC_PCS">'VIC'!$B$64</definedName>
    <definedName name="VIC_PDS">'VIC'!$B$63</definedName>
    <definedName name="VIC_PHH">'Region'!$K$10</definedName>
    <definedName name="VIC_PHHC">'Region'!$P$10</definedName>
    <definedName name="VIC_PRAFG">'VIC'!$G$58</definedName>
    <definedName name="VIC_PRAFL">'VIC'!$B$58</definedName>
    <definedName name="VIC_PRAFR">'VIC'!$L$58</definedName>
    <definedName name="VIC_PRAFRC">'VIC'!$M$58</definedName>
    <definedName name="VIC_RC">'VIC'!$I$5</definedName>
    <definedName name="VIC_RCC">'VIC'!$K$5</definedName>
    <definedName name="VIC_RCD">'VIC'!$B$62</definedName>
    <definedName name="VIC_RCS">'VIC'!$J$5</definedName>
    <definedName name="VIC_RD">'VIC'!$D$5</definedName>
    <definedName name="VIC_RDC">'VIC'!$F$5</definedName>
    <definedName name="VIC_RDD">'VIC'!$B$61</definedName>
    <definedName name="VIC_RDS">'VIC'!$E$5</definedName>
    <definedName name="VIC_RLWP">'Region'!$K$58</definedName>
    <definedName name="VIC_RLWPC">'Region'!$P$58</definedName>
    <definedName name="VIC_VFOSL">'Region'!$G$61</definedName>
    <definedName name="VIC_VFPM">'Region'!$G$62</definedName>
  </definedNames>
  <calcPr calcMode="autoNoTable" fullCalcOnLoad="1"/>
</workbook>
</file>

<file path=xl/sharedStrings.xml><?xml version="1.0" encoding="utf-8"?>
<sst xmlns="http://schemas.openxmlformats.org/spreadsheetml/2006/main" count="340" uniqueCount="88">
  <si>
    <t>NSW</t>
  </si>
  <si>
    <t>QLD</t>
  </si>
  <si>
    <t>SA</t>
  </si>
  <si>
    <t>TAS</t>
  </si>
  <si>
    <t>VIC</t>
  </si>
  <si>
    <t>Load</t>
  </si>
  <si>
    <t>Generation</t>
  </si>
  <si>
    <t>Debit energy reallocations</t>
  </si>
  <si>
    <t>Debit swap reallocations</t>
  </si>
  <si>
    <t>Debit cap reallocations</t>
  </si>
  <si>
    <t>Credit energy reallocations</t>
  </si>
  <si>
    <t>Credit swap reallocations</t>
  </si>
  <si>
    <t>Credit cap reallocations</t>
  </si>
  <si>
    <t>Average daily value</t>
  </si>
  <si>
    <t>Participant data</t>
  </si>
  <si>
    <t>Regional data</t>
  </si>
  <si>
    <t>Price</t>
  </si>
  <si>
    <t>Outstandings volatility factor</t>
  </si>
  <si>
    <t>Prudential margin volatility factor</t>
  </si>
  <si>
    <t>Profile by half hour</t>
  </si>
  <si>
    <t>Cap value</t>
  </si>
  <si>
    <t>Capped price</t>
  </si>
  <si>
    <t>Regional load</t>
  </si>
  <si>
    <t>GST</t>
  </si>
  <si>
    <r>
      <t>VEL</t>
    </r>
    <r>
      <rPr>
        <b/>
        <vertAlign val="subscript"/>
        <sz val="10"/>
        <rFont val="Arial"/>
        <family val="2"/>
      </rPr>
      <t>R</t>
    </r>
  </si>
  <si>
    <r>
      <t>VEG</t>
    </r>
    <r>
      <rPr>
        <b/>
        <vertAlign val="subscript"/>
        <sz val="10"/>
        <rFont val="Arial"/>
        <family val="2"/>
      </rPr>
      <t>R</t>
    </r>
  </si>
  <si>
    <t>Debit reallocations</t>
  </si>
  <si>
    <t>Energy</t>
  </si>
  <si>
    <t>Swap</t>
  </si>
  <si>
    <t>Cap</t>
  </si>
  <si>
    <r>
      <t>VRD</t>
    </r>
    <r>
      <rPr>
        <b/>
        <vertAlign val="subscript"/>
        <sz val="10"/>
        <rFont val="Arial"/>
        <family val="2"/>
      </rPr>
      <t>R</t>
    </r>
  </si>
  <si>
    <t>Credit reallocations</t>
  </si>
  <si>
    <r>
      <t>VRC</t>
    </r>
    <r>
      <rPr>
        <b/>
        <vertAlign val="subscript"/>
        <sz val="10"/>
        <rFont val="Arial"/>
        <family val="2"/>
      </rPr>
      <t>R</t>
    </r>
  </si>
  <si>
    <t>Outstandings limit</t>
  </si>
  <si>
    <t>OSL</t>
  </si>
  <si>
    <t>PM</t>
  </si>
  <si>
    <t>MCL</t>
  </si>
  <si>
    <t>Prudential margin</t>
  </si>
  <si>
    <t>Total</t>
  </si>
  <si>
    <r>
      <t>RC$</t>
    </r>
    <r>
      <rPr>
        <b/>
        <vertAlign val="subscript"/>
        <sz val="10"/>
        <rFont val="Arial"/>
        <family val="2"/>
      </rPr>
      <t>R</t>
    </r>
  </si>
  <si>
    <r>
      <t>RD$</t>
    </r>
    <r>
      <rPr>
        <b/>
        <vertAlign val="subscript"/>
        <sz val="10"/>
        <rFont val="Arial"/>
        <family val="2"/>
      </rPr>
      <t>R</t>
    </r>
  </si>
  <si>
    <t>Net load</t>
  </si>
  <si>
    <t>Net reallocations</t>
  </si>
  <si>
    <t>PRAF</t>
  </si>
  <si>
    <t>Swap price (debit) (PDS)</t>
  </si>
  <si>
    <t>Swap price (credit) (PCS)</t>
  </si>
  <si>
    <t>Net Energy and Swap Reallocations</t>
  </si>
  <si>
    <t>Net Cap Reallocations</t>
  </si>
  <si>
    <r>
      <t>EL</t>
    </r>
    <r>
      <rPr>
        <b/>
        <vertAlign val="subscript"/>
        <sz val="12"/>
        <color indexed="8"/>
        <rFont val="Calibri"/>
        <family val="2"/>
      </rPr>
      <t>R</t>
    </r>
  </si>
  <si>
    <r>
      <t>RD</t>
    </r>
    <r>
      <rPr>
        <b/>
        <vertAlign val="subscript"/>
        <sz val="12"/>
        <color indexed="8"/>
        <rFont val="Calibri"/>
        <family val="2"/>
      </rPr>
      <t>R</t>
    </r>
  </si>
  <si>
    <r>
      <t>RDS</t>
    </r>
    <r>
      <rPr>
        <b/>
        <vertAlign val="subscript"/>
        <sz val="12"/>
        <color indexed="8"/>
        <rFont val="Calibri"/>
        <family val="2"/>
      </rPr>
      <t>R</t>
    </r>
  </si>
  <si>
    <r>
      <t>RDC</t>
    </r>
    <r>
      <rPr>
        <b/>
        <vertAlign val="subscript"/>
        <sz val="12"/>
        <color indexed="8"/>
        <rFont val="Calibri"/>
        <family val="2"/>
      </rPr>
      <t>R,C</t>
    </r>
  </si>
  <si>
    <r>
      <t>EG</t>
    </r>
    <r>
      <rPr>
        <b/>
        <vertAlign val="subscript"/>
        <sz val="12"/>
        <color indexed="8"/>
        <rFont val="Calibri"/>
        <family val="2"/>
      </rPr>
      <t>R</t>
    </r>
  </si>
  <si>
    <r>
      <t>RC</t>
    </r>
    <r>
      <rPr>
        <b/>
        <vertAlign val="subscript"/>
        <sz val="12"/>
        <color indexed="8"/>
        <rFont val="Calibri"/>
        <family val="2"/>
      </rPr>
      <t>R</t>
    </r>
  </si>
  <si>
    <r>
      <t>RCS</t>
    </r>
    <r>
      <rPr>
        <b/>
        <vertAlign val="subscript"/>
        <sz val="12"/>
        <color indexed="8"/>
        <rFont val="Calibri"/>
        <family val="2"/>
      </rPr>
      <t>R</t>
    </r>
  </si>
  <si>
    <r>
      <t>RCC</t>
    </r>
    <r>
      <rPr>
        <b/>
        <vertAlign val="subscript"/>
        <sz val="12"/>
        <color indexed="8"/>
        <rFont val="Calibri"/>
        <family val="2"/>
      </rPr>
      <t>R,C</t>
    </r>
  </si>
  <si>
    <r>
      <t>EL</t>
    </r>
    <r>
      <rPr>
        <b/>
        <vertAlign val="subscript"/>
        <sz val="12"/>
        <color indexed="8"/>
        <rFont val="Calibri"/>
        <family val="2"/>
      </rPr>
      <t>HH,M,R</t>
    </r>
  </si>
  <si>
    <r>
      <t>EL</t>
    </r>
    <r>
      <rPr>
        <b/>
        <vertAlign val="subscript"/>
        <sz val="12"/>
        <color indexed="8"/>
        <rFont val="Calibri"/>
        <family val="2"/>
      </rPr>
      <t>HH,R</t>
    </r>
  </si>
  <si>
    <r>
      <t>EG</t>
    </r>
    <r>
      <rPr>
        <b/>
        <vertAlign val="subscript"/>
        <sz val="12"/>
        <color indexed="8"/>
        <rFont val="Calibri"/>
        <family val="2"/>
      </rPr>
      <t>HH,M,R</t>
    </r>
  </si>
  <si>
    <r>
      <t>EG</t>
    </r>
    <r>
      <rPr>
        <b/>
        <vertAlign val="subscript"/>
        <sz val="12"/>
        <color indexed="8"/>
        <rFont val="Calibri"/>
        <family val="2"/>
      </rPr>
      <t>HH,R</t>
    </r>
  </si>
  <si>
    <r>
      <t>RD</t>
    </r>
    <r>
      <rPr>
        <b/>
        <vertAlign val="subscript"/>
        <sz val="12"/>
        <color indexed="8"/>
        <rFont val="Calibri"/>
        <family val="2"/>
      </rPr>
      <t>HH,R</t>
    </r>
  </si>
  <si>
    <r>
      <t>RDS</t>
    </r>
    <r>
      <rPr>
        <b/>
        <vertAlign val="subscript"/>
        <sz val="12"/>
        <color indexed="8"/>
        <rFont val="Calibri"/>
        <family val="2"/>
      </rPr>
      <t>HH,R</t>
    </r>
  </si>
  <si>
    <r>
      <t>RDC</t>
    </r>
    <r>
      <rPr>
        <b/>
        <vertAlign val="subscript"/>
        <sz val="12"/>
        <color indexed="8"/>
        <rFont val="Calibri"/>
        <family val="2"/>
      </rPr>
      <t>HH,R</t>
    </r>
  </si>
  <si>
    <r>
      <t>RC</t>
    </r>
    <r>
      <rPr>
        <b/>
        <vertAlign val="subscript"/>
        <sz val="12"/>
        <color indexed="8"/>
        <rFont val="Calibri"/>
        <family val="2"/>
      </rPr>
      <t>HH,R</t>
    </r>
  </si>
  <si>
    <r>
      <t>RCS</t>
    </r>
    <r>
      <rPr>
        <b/>
        <vertAlign val="subscript"/>
        <sz val="12"/>
        <color indexed="8"/>
        <rFont val="Calibri"/>
        <family val="2"/>
      </rPr>
      <t>HH,R</t>
    </r>
  </si>
  <si>
    <r>
      <t>RCC</t>
    </r>
    <r>
      <rPr>
        <b/>
        <vertAlign val="subscript"/>
        <sz val="12"/>
        <color indexed="8"/>
        <rFont val="Calibri"/>
        <family val="2"/>
      </rPr>
      <t>HH,R</t>
    </r>
  </si>
  <si>
    <t>Load weighted price (PLWP)</t>
  </si>
  <si>
    <t>Load Weighted Price Ratio (LWPR)</t>
  </si>
  <si>
    <t>PLWP</t>
  </si>
  <si>
    <t>LWPR</t>
  </si>
  <si>
    <r>
      <t>RD$</t>
    </r>
    <r>
      <rPr>
        <b/>
        <vertAlign val="subscript"/>
        <sz val="12"/>
        <color indexed="8"/>
        <rFont val="Calibri"/>
        <family val="2"/>
      </rPr>
      <t>R</t>
    </r>
  </si>
  <si>
    <r>
      <t>RC$</t>
    </r>
    <r>
      <rPr>
        <b/>
        <vertAlign val="subscript"/>
        <sz val="12"/>
        <color indexed="8"/>
        <rFont val="Calibri"/>
        <family val="2"/>
      </rPr>
      <t>R</t>
    </r>
  </si>
  <si>
    <r>
      <t>VFOSL</t>
    </r>
    <r>
      <rPr>
        <b/>
        <vertAlign val="subscript"/>
        <sz val="12"/>
        <color indexed="8"/>
        <rFont val="Calibri"/>
        <family val="2"/>
      </rPr>
      <t>R</t>
    </r>
  </si>
  <si>
    <r>
      <t>VFPM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</si>
  <si>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R</t>
    </r>
  </si>
  <si>
    <t>Regional load weighted price (RLWP)</t>
  </si>
  <si>
    <r>
      <t>OSL</t>
    </r>
    <r>
      <rPr>
        <b/>
        <vertAlign val="subscript"/>
        <sz val="14"/>
        <color indexed="8"/>
        <rFont val="Calibri"/>
        <family val="2"/>
      </rPr>
      <t>R,U</t>
    </r>
  </si>
  <si>
    <r>
      <t>OSL</t>
    </r>
    <r>
      <rPr>
        <b/>
        <vertAlign val="subscript"/>
        <sz val="14"/>
        <color indexed="8"/>
        <rFont val="Calibri"/>
        <family val="2"/>
      </rPr>
      <t>R,I</t>
    </r>
  </si>
  <si>
    <t>Dollar Reallocations</t>
  </si>
  <si>
    <r>
      <t>T</t>
    </r>
    <r>
      <rPr>
        <b/>
        <vertAlign val="subscript"/>
        <sz val="14"/>
        <rFont val="Arial"/>
        <family val="2"/>
      </rPr>
      <t>OSL</t>
    </r>
  </si>
  <si>
    <r>
      <t>T</t>
    </r>
    <r>
      <rPr>
        <b/>
        <vertAlign val="subscript"/>
        <sz val="14"/>
        <rFont val="Arial"/>
        <family val="2"/>
      </rPr>
      <t>RP</t>
    </r>
  </si>
  <si>
    <t>These parameters can be changed to understand impact of differing VFs</t>
  </si>
  <si>
    <r>
      <t>ERL</t>
    </r>
    <r>
      <rPr>
        <b/>
        <vertAlign val="subscript"/>
        <sz val="12"/>
        <color indexed="8"/>
        <rFont val="Calibri"/>
        <family val="2"/>
      </rPr>
      <t>HH,R</t>
    </r>
  </si>
  <si>
    <r>
      <t>ERL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</si>
  <si>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HH,R</t>
    </r>
  </si>
  <si>
    <r>
      <t>P</t>
    </r>
    <r>
      <rPr>
        <b/>
        <vertAlign val="subscript"/>
        <sz val="12"/>
        <color indexed="8"/>
        <rFont val="Calibri"/>
        <family val="2"/>
      </rPr>
      <t>HH,R,C</t>
    </r>
  </si>
  <si>
    <t>These parameters can be changed to understand the impact of differing prices</t>
  </si>
  <si>
    <t>The calculator illustrates the impact of a $100 Cap reallocation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</si>
</sst>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65">
    <font>
      <sz val="11"/>
      <color theme="1"/>
      <name val="Calibri"/>
      <family val="2"/>
    </font>
    <font>
      <sz val="11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bscript"/>
      <sz val="14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i/>
      <sz val="11"/>
      <color indexed="49"/>
      <name val="Calibri"/>
      <family val="2"/>
    </font>
    <font>
      <b/>
      <i/>
      <sz val="11"/>
      <color indexed="49"/>
      <name val="Calibri"/>
      <family val="2"/>
    </font>
    <font>
      <b/>
      <i/>
      <sz val="12"/>
      <color indexed="49"/>
      <name val="Calibri"/>
      <family val="2"/>
    </font>
    <font>
      <sz val="9.2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  <font>
      <i/>
      <sz val="11"/>
      <color theme="8" tint="-0.24997000396251678"/>
      <name val="Calibri"/>
      <family val="2"/>
    </font>
    <font>
      <b/>
      <i/>
      <sz val="11"/>
      <color theme="8" tint="-0.24997000396251678"/>
      <name val="Calibri"/>
      <family val="2"/>
    </font>
    <font>
      <b/>
      <i/>
      <sz val="12"/>
      <color theme="8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57" fillId="0" borderId="0" xfId="0" applyFont="1" applyAlignment="1">
      <alignment horizontal="right"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7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58" fillId="0" borderId="0" xfId="0" applyFont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58" fillId="0" borderId="0" xfId="0" applyFont="1" applyAlignment="1">
      <alignment/>
    </xf>
    <xf numFmtId="2" fontId="56" fillId="0" borderId="0" xfId="0" applyNumberFormat="1" applyFont="1" applyAlignment="1">
      <alignment/>
    </xf>
    <xf numFmtId="2" fontId="58" fillId="0" borderId="0" xfId="0" applyNumberFormat="1" applyFont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18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2" fontId="0" fillId="33" borderId="23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3" fontId="58" fillId="34" borderId="10" xfId="0" applyNumberFormat="1" applyFont="1" applyFill="1" applyBorder="1" applyAlignment="1">
      <alignment/>
    </xf>
    <xf numFmtId="3" fontId="58" fillId="34" borderId="11" xfId="0" applyNumberFormat="1" applyFont="1" applyFill="1" applyBorder="1" applyAlignment="1">
      <alignment/>
    </xf>
    <xf numFmtId="3" fontId="58" fillId="34" borderId="12" xfId="0" applyNumberFormat="1" applyFont="1" applyFill="1" applyBorder="1" applyAlignment="1">
      <alignment/>
    </xf>
    <xf numFmtId="3" fontId="58" fillId="34" borderId="17" xfId="0" applyNumberFormat="1" applyFont="1" applyFill="1" applyBorder="1" applyAlignment="1">
      <alignment/>
    </xf>
    <xf numFmtId="3" fontId="58" fillId="34" borderId="18" xfId="0" applyNumberFormat="1" applyFont="1" applyFill="1" applyBorder="1" applyAlignment="1">
      <alignment/>
    </xf>
    <xf numFmtId="3" fontId="58" fillId="34" borderId="19" xfId="0" applyNumberFormat="1" applyFont="1" applyFill="1" applyBorder="1" applyAlignment="1">
      <alignment/>
    </xf>
    <xf numFmtId="3" fontId="58" fillId="34" borderId="20" xfId="0" applyNumberFormat="1" applyFont="1" applyFill="1" applyBorder="1" applyAlignment="1">
      <alignment/>
    </xf>
    <xf numFmtId="3" fontId="58" fillId="34" borderId="0" xfId="0" applyNumberFormat="1" applyFont="1" applyFill="1" applyBorder="1" applyAlignment="1">
      <alignment/>
    </xf>
    <xf numFmtId="3" fontId="58" fillId="34" borderId="21" xfId="0" applyNumberFormat="1" applyFont="1" applyFill="1" applyBorder="1" applyAlignment="1">
      <alignment/>
    </xf>
    <xf numFmtId="3" fontId="58" fillId="34" borderId="22" xfId="0" applyNumberFormat="1" applyFont="1" applyFill="1" applyBorder="1" applyAlignment="1">
      <alignment/>
    </xf>
    <xf numFmtId="3" fontId="58" fillId="34" borderId="23" xfId="0" applyNumberFormat="1" applyFont="1" applyFill="1" applyBorder="1" applyAlignment="1">
      <alignment/>
    </xf>
    <xf numFmtId="3" fontId="58" fillId="34" borderId="24" xfId="0" applyNumberFormat="1" applyFont="1" applyFill="1" applyBorder="1" applyAlignment="1">
      <alignment/>
    </xf>
    <xf numFmtId="3" fontId="58" fillId="34" borderId="15" xfId="0" applyNumberFormat="1" applyFont="1" applyFill="1" applyBorder="1" applyAlignment="1">
      <alignment/>
    </xf>
    <xf numFmtId="3" fontId="58" fillId="34" borderId="16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61" fillId="0" borderId="0" xfId="0" applyFont="1" applyAlignment="1">
      <alignment/>
    </xf>
    <xf numFmtId="3" fontId="58" fillId="34" borderId="13" xfId="0" applyNumberFormat="1" applyFont="1" applyFill="1" applyBorder="1" applyAlignment="1">
      <alignment/>
    </xf>
    <xf numFmtId="2" fontId="58" fillId="0" borderId="10" xfId="0" applyNumberFormat="1" applyFont="1" applyFill="1" applyBorder="1" applyAlignment="1">
      <alignment/>
    </xf>
    <xf numFmtId="2" fontId="58" fillId="0" borderId="11" xfId="0" applyNumberFormat="1" applyFont="1" applyFill="1" applyBorder="1" applyAlignment="1">
      <alignment/>
    </xf>
    <xf numFmtId="2" fontId="58" fillId="0" borderId="12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58" fillId="0" borderId="0" xfId="0" applyFont="1" applyFill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62" fillId="0" borderId="0" xfId="0" applyFont="1" applyAlignment="1">
      <alignment vertical="center"/>
    </xf>
    <xf numFmtId="4" fontId="63" fillId="13" borderId="10" xfId="0" applyNumberFormat="1" applyFont="1" applyFill="1" applyBorder="1" applyAlignment="1">
      <alignment/>
    </xf>
    <xf numFmtId="4" fontId="63" fillId="13" borderId="11" xfId="0" applyNumberFormat="1" applyFont="1" applyFill="1" applyBorder="1" applyAlignment="1">
      <alignment/>
    </xf>
    <xf numFmtId="4" fontId="63" fillId="13" borderId="12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164" fontId="64" fillId="35" borderId="17" xfId="0" applyNumberFormat="1" applyFont="1" applyFill="1" applyBorder="1" applyAlignment="1">
      <alignment vertical="center" wrapText="1"/>
    </xf>
    <xf numFmtId="164" fontId="64" fillId="35" borderId="18" xfId="0" applyNumberFormat="1" applyFont="1" applyFill="1" applyBorder="1" applyAlignment="1">
      <alignment vertical="center" wrapText="1"/>
    </xf>
    <xf numFmtId="164" fontId="64" fillId="35" borderId="19" xfId="0" applyNumberFormat="1" applyFont="1" applyFill="1" applyBorder="1" applyAlignment="1">
      <alignment vertical="center" wrapText="1"/>
    </xf>
    <xf numFmtId="164" fontId="64" fillId="35" borderId="22" xfId="0" applyNumberFormat="1" applyFont="1" applyFill="1" applyBorder="1" applyAlignment="1">
      <alignment vertical="center" wrapText="1"/>
    </xf>
    <xf numFmtId="164" fontId="64" fillId="35" borderId="23" xfId="0" applyNumberFormat="1" applyFont="1" applyFill="1" applyBorder="1" applyAlignment="1">
      <alignment vertical="center" wrapText="1"/>
    </xf>
    <xf numFmtId="164" fontId="64" fillId="35" borderId="24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62" fillId="0" borderId="2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SA!$B$3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SA!$A$8:$A$55</c:f>
              <c:numCache/>
            </c:numRef>
          </c:xVal>
          <c:yVal>
            <c:numRef>
              <c:f>SA!$B$8:$B$55</c:f>
              <c:numCache/>
            </c:numRef>
          </c:yVal>
          <c:smooth val="0"/>
        </c:ser>
        <c:axId val="63784042"/>
        <c:axId val="52322027"/>
      </c:scatterChart>
      <c:valAx>
        <c:axId val="63784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22027"/>
        <c:crosses val="autoZero"/>
        <c:crossBetween val="midCat"/>
        <c:dispUnits/>
      </c:valAx>
      <c:valAx>
        <c:axId val="5232202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840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TAS!$B$3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TAS!$A$8:$A$55</c:f>
              <c:numCache/>
            </c:numRef>
          </c:xVal>
          <c:yVal>
            <c:numRef>
              <c:f>TAS!$B$8:$B$55</c:f>
              <c:numCache/>
            </c:numRef>
          </c:yVal>
          <c:smooth val="0"/>
        </c:ser>
        <c:axId val="45488556"/>
        <c:axId val="3966125"/>
      </c:scatterChart>
      <c:valAx>
        <c:axId val="4548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6125"/>
        <c:crosses val="autoZero"/>
        <c:crossBetween val="midCat"/>
        <c:dispUnits/>
      </c:valAx>
      <c:valAx>
        <c:axId val="396612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885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105025"/>
        <a:ext cx="736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038350"/>
        <a:ext cx="707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B65" sqref="B65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8.7109375" style="0" customWidth="1"/>
    <col min="5" max="5" width="16.8515625" style="0" customWidth="1"/>
    <col min="6" max="6" width="16.421875" style="0" customWidth="1"/>
    <col min="7" max="7" width="12.140625" style="0" customWidth="1"/>
    <col min="8" max="8" width="8.7109375" style="0" customWidth="1"/>
    <col min="9" max="9" width="14.57421875" style="0" customWidth="1"/>
    <col min="10" max="10" width="14.00390625" style="0" customWidth="1"/>
    <col min="11" max="11" width="14.28125" style="0" customWidth="1"/>
    <col min="12" max="12" width="16.00390625" style="0" customWidth="1"/>
    <col min="13" max="13" width="15.28125" style="0" customWidth="1"/>
    <col min="14" max="14" width="27.140625" style="0" customWidth="1"/>
  </cols>
  <sheetData>
    <row r="1" ht="15.75">
      <c r="A1" s="16" t="s">
        <v>14</v>
      </c>
    </row>
    <row r="2" spans="2:13" ht="15.75">
      <c r="B2" s="16" t="s">
        <v>0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>
        <v>1895.51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ht="15.75">
      <c r="A6" s="1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>
        <v>30.36</v>
      </c>
      <c r="C8" s="23">
        <v>28.91428571428571</v>
      </c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>
        <v>29.96</v>
      </c>
      <c r="C9" s="27">
        <v>28.53333333333333</v>
      </c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>
        <v>29.7</v>
      </c>
      <c r="C10" s="27">
        <v>28.285714285714285</v>
      </c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>
        <v>29.45</v>
      </c>
      <c r="C11" s="27">
        <v>28.047619047619047</v>
      </c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>
        <v>29.33</v>
      </c>
      <c r="C12" s="27">
        <v>27.93333333333333</v>
      </c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>
        <v>29.22</v>
      </c>
      <c r="C13" s="27">
        <v>27.828571428571426</v>
      </c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>
        <v>29.49</v>
      </c>
      <c r="C14" s="27">
        <v>28.085714285714282</v>
      </c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>
        <v>29.84</v>
      </c>
      <c r="C15" s="27">
        <v>28.419047619047618</v>
      </c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>
        <v>30.94</v>
      </c>
      <c r="C16" s="27">
        <v>29.466666666666665</v>
      </c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>
        <v>31.67</v>
      </c>
      <c r="C17" s="27">
        <v>30.16190476190476</v>
      </c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>
        <v>33.71</v>
      </c>
      <c r="C18" s="27">
        <v>32.1047619047619</v>
      </c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>
        <v>35.2</v>
      </c>
      <c r="C19" s="27">
        <v>33.523809523809526</v>
      </c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>
        <v>37.92</v>
      </c>
      <c r="C20" s="27">
        <v>36.114285714285714</v>
      </c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>
        <v>39.55</v>
      </c>
      <c r="C21" s="27">
        <v>37.666666666666664</v>
      </c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>
        <v>41.56</v>
      </c>
      <c r="C22" s="27">
        <v>39.58095238095238</v>
      </c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>
        <v>42.73</v>
      </c>
      <c r="C23" s="27">
        <v>40.69523809523809</v>
      </c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>
        <v>43.87</v>
      </c>
      <c r="C24" s="27">
        <v>41.78095238095238</v>
      </c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>
        <v>44.81</v>
      </c>
      <c r="C25" s="27">
        <v>42.67619047619048</v>
      </c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>
        <v>45.98</v>
      </c>
      <c r="C26" s="27">
        <v>43.790476190476184</v>
      </c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>
        <v>46.49</v>
      </c>
      <c r="C27" s="27">
        <v>44.27619047619048</v>
      </c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>
        <v>47.33</v>
      </c>
      <c r="C28" s="27">
        <v>45.076190476190476</v>
      </c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>
        <v>47.54</v>
      </c>
      <c r="C29" s="27">
        <v>45.27619047619047</v>
      </c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>
        <v>48.1</v>
      </c>
      <c r="C30" s="27">
        <v>45.80952380952381</v>
      </c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>
        <v>48.44</v>
      </c>
      <c r="C31" s="27">
        <v>46.133333333333326</v>
      </c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>
        <v>48.83</v>
      </c>
      <c r="C32" s="27">
        <v>46.5047619047619</v>
      </c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>
        <v>48.74</v>
      </c>
      <c r="C33" s="27">
        <v>46.41904761904762</v>
      </c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>
        <v>48.5</v>
      </c>
      <c r="C34" s="27">
        <v>46.19047619047619</v>
      </c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>
        <v>48.19</v>
      </c>
      <c r="C35" s="27">
        <v>45.89523809523809</v>
      </c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>
        <v>47.8</v>
      </c>
      <c r="C36" s="27">
        <v>45.52380952380952</v>
      </c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>
        <v>47.55</v>
      </c>
      <c r="C37" s="27">
        <v>45.28571428571428</v>
      </c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>
        <v>47.1</v>
      </c>
      <c r="C38" s="27">
        <v>44.857142857142854</v>
      </c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>
        <v>46.56</v>
      </c>
      <c r="C39" s="27">
        <v>44.34285714285714</v>
      </c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>
        <v>46.02</v>
      </c>
      <c r="C40" s="27">
        <v>43.82857142857143</v>
      </c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>
        <v>45.15</v>
      </c>
      <c r="C41" s="27">
        <v>43</v>
      </c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>
        <v>43.61</v>
      </c>
      <c r="C42" s="27">
        <v>41.53333333333333</v>
      </c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>
        <v>42.68</v>
      </c>
      <c r="C43" s="27">
        <v>40.647619047619045</v>
      </c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>
        <v>41.05</v>
      </c>
      <c r="C44" s="27">
        <v>39.09523809523809</v>
      </c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>
        <v>40.29</v>
      </c>
      <c r="C45" s="27">
        <v>38.37142857142857</v>
      </c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>F45-K45</f>
        <v>0</v>
      </c>
    </row>
    <row r="46" spans="1:13" ht="15" hidden="1" outlineLevel="1">
      <c r="A46">
        <v>39</v>
      </c>
      <c r="B46" s="26">
        <v>39.18</v>
      </c>
      <c r="C46" s="27">
        <v>37.31428571428571</v>
      </c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>
        <v>38.37</v>
      </c>
      <c r="C47" s="27">
        <v>36.54285714285714</v>
      </c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>
        <v>37.39</v>
      </c>
      <c r="C48" s="27">
        <v>35.60952380952381</v>
      </c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>
        <v>36.54</v>
      </c>
      <c r="C49" s="27">
        <v>34.8</v>
      </c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>
        <v>35.54</v>
      </c>
      <c r="C50" s="27">
        <v>33.84761904761905</v>
      </c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>
        <v>34.66</v>
      </c>
      <c r="C51" s="27">
        <v>33.009523809523806</v>
      </c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>
        <v>33.48</v>
      </c>
      <c r="C52" s="27">
        <v>31.885714285714283</v>
      </c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>
        <v>32.62</v>
      </c>
      <c r="C53" s="27">
        <v>31.066666666666663</v>
      </c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>
        <v>31.58</v>
      </c>
      <c r="C54" s="27">
        <v>30.076190476190472</v>
      </c>
      <c r="D54" s="28"/>
      <c r="E54" s="28"/>
      <c r="F54" s="28"/>
      <c r="G54" s="28"/>
      <c r="H54" s="28"/>
      <c r="I54" s="28"/>
      <c r="J54" s="28"/>
      <c r="K54" s="29"/>
      <c r="L54" s="79">
        <f>SUM(D54:E54)-SUM(I54:J54)</f>
        <v>0</v>
      </c>
      <c r="M54" s="80">
        <f t="shared" si="1"/>
        <v>0</v>
      </c>
    </row>
    <row r="55" spans="1:13" ht="15">
      <c r="A55">
        <v>48</v>
      </c>
      <c r="B55" s="30">
        <v>30.91</v>
      </c>
      <c r="C55" s="31">
        <v>29.438095238095237</v>
      </c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IF(SUM(B8:B55)=0,NSW_RLWP,SUMPRODUCT(B8:B55,OFFSET(NSW_PHH,0,0,48,1))/SUM(C8:C55))</f>
        <v>45.81254859704809</v>
      </c>
      <c r="C56" s="3"/>
      <c r="F56" s="3"/>
      <c r="G56" s="18">
        <f ca="1">IF(SUM(G8:G55)=0,NSW_RLWP,SUMPRODUCT(G8:G55,OFFSET(NSW_PHH,0,0,48,1))/SUM(H8:H55))</f>
        <v>42.74386157794786</v>
      </c>
      <c r="H56" s="3"/>
      <c r="L56" s="18">
        <f ca="1">IF(SUM(L8:L55)=0,NSW_RLWP,SUMPRODUCT(L8:L55,OFFSET(NSW_PHH,0,0,48,1))/SUM(L8:L55))</f>
        <v>42.74386157794786</v>
      </c>
      <c r="M56" s="18">
        <f ca="1">IF(SUM(M8:M55)=0,NSW_RLWPC,SUMPRODUCT(M8:M55,OFFSET(NSW_PHHC,0,0,48,1))/SUM(M8:M55))</f>
        <v>28.787102858190412</v>
      </c>
      <c r="N56" s="16" t="s">
        <v>68</v>
      </c>
    </row>
    <row r="57" spans="1:14" ht="15.75">
      <c r="A57" s="16" t="s">
        <v>67</v>
      </c>
      <c r="B57" s="18">
        <f>B56/NSW_RLWP</f>
        <v>1.0717924610883405</v>
      </c>
      <c r="C57" s="3"/>
      <c r="F57" s="3"/>
      <c r="G57" s="18">
        <f>G56/NSW_RLWP</f>
        <v>1</v>
      </c>
      <c r="H57" s="3"/>
      <c r="L57" s="18">
        <f>L56/NSW_RLWP</f>
        <v>1</v>
      </c>
      <c r="M57" s="18">
        <f>M56/NSW_RLWP</f>
        <v>0.6734792270860729</v>
      </c>
      <c r="N57" s="16" t="s">
        <v>69</v>
      </c>
    </row>
    <row r="58" spans="1:14" ht="15.75">
      <c r="A58" s="16" t="s">
        <v>43</v>
      </c>
      <c r="B58" s="18">
        <f>MAX(B57,B57^2)</f>
        <v>1.148739079645802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0.6734792270860729</v>
      </c>
      <c r="N58" s="16" t="s">
        <v>43</v>
      </c>
    </row>
    <row r="59" spans="12:13" ht="15">
      <c r="L59" s="3"/>
      <c r="M59" s="3"/>
    </row>
    <row r="60" ht="15.75">
      <c r="B60" s="16" t="s">
        <v>0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0">
        <v>0</v>
      </c>
    </row>
    <row r="65" spans="1:2" ht="15.75">
      <c r="A65" s="16" t="s">
        <v>20</v>
      </c>
      <c r="B65" s="13"/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B2" sqref="B2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28125" style="0" customWidth="1"/>
    <col min="5" max="5" width="15.421875" style="0" customWidth="1"/>
    <col min="6" max="6" width="15.00390625" style="0" customWidth="1"/>
    <col min="7" max="7" width="12.28125" style="0" customWidth="1"/>
    <col min="8" max="8" width="10.7109375" style="0" customWidth="1"/>
    <col min="9" max="9" width="15.00390625" style="0" customWidth="1"/>
    <col min="10" max="10" width="15.140625" style="0" customWidth="1"/>
    <col min="11" max="11" width="16.8515625" style="0" customWidth="1"/>
    <col min="12" max="13" width="15.421875" style="0" customWidth="1"/>
  </cols>
  <sheetData>
    <row r="1" ht="15.75">
      <c r="A1" s="16" t="s">
        <v>14</v>
      </c>
    </row>
    <row r="2" spans="2:13" ht="15">
      <c r="B2" s="1" t="s">
        <v>1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>
        <v>18337.44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IF(SUM(B8:B55)=0,QLD_RLWP,SUMPRODUCT(B8:B55,OFFSET(QLD_PHH,0,0,48,1))/SUM(C8:C55))</f>
        <v>43.62360204588576</v>
      </c>
      <c r="C56" s="3"/>
      <c r="F56" s="3"/>
      <c r="G56" s="18">
        <f ca="1">IF(SUM(G8:G55)=0,QLD_RLWP,SUMPRODUCT(G8:G55,OFFSET(QLD_PHH,0,0,48,1))/SUM(H8:H55))</f>
        <v>43.62360204588576</v>
      </c>
      <c r="H56" s="3"/>
      <c r="L56" s="18">
        <f ca="1">IF(SUM(L8:L55)=0,QLD_RLWP,SUMPRODUCT(L8:L55,OFFSET(QLD_PHH,0,0,48,1))/SUM(L8:L55))</f>
        <v>43.62360204588576</v>
      </c>
      <c r="M56" s="18">
        <f ca="1">IF(SUM(M8:M55)=0,QLD_RLWPC,SUMPRODUCT(M8:M55,OFFSET(QLD_PHHC,0,0,48,1))/SUM(M8:M55))</f>
        <v>28.879441711344914</v>
      </c>
      <c r="N56" s="16" t="s">
        <v>68</v>
      </c>
    </row>
    <row r="57" spans="1:14" ht="15.75">
      <c r="A57" s="16" t="s">
        <v>67</v>
      </c>
      <c r="B57" s="18">
        <f>B56/QLD_RLWP</f>
        <v>1</v>
      </c>
      <c r="C57" s="3"/>
      <c r="F57" s="3"/>
      <c r="G57" s="18">
        <f>G56/QLD_RLWP</f>
        <v>1</v>
      </c>
      <c r="H57" s="3"/>
      <c r="L57" s="18">
        <f>L56/QLD_RLWP</f>
        <v>1</v>
      </c>
      <c r="M57" s="18">
        <f>M56/QLD_RLWP</f>
        <v>0.6620141473179563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0.6620141473179563</v>
      </c>
      <c r="N58" s="16" t="s">
        <v>43</v>
      </c>
    </row>
    <row r="59" spans="12:13" ht="15">
      <c r="L59" s="3"/>
      <c r="M59" s="3"/>
    </row>
    <row r="60" ht="15">
      <c r="B60" s="1" t="s">
        <v>1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D67" sqref="D67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8515625" style="0" customWidth="1"/>
    <col min="5" max="5" width="14.7109375" style="0" customWidth="1"/>
    <col min="6" max="6" width="15.421875" style="0" customWidth="1"/>
    <col min="7" max="7" width="14.7109375" style="0" customWidth="1"/>
    <col min="8" max="8" width="10.7109375" style="0" customWidth="1"/>
    <col min="9" max="9" width="16.421875" style="0" customWidth="1"/>
    <col min="10" max="10" width="15.57421875" style="0" customWidth="1"/>
    <col min="11" max="11" width="15.8515625" style="0" customWidth="1"/>
    <col min="12" max="12" width="15.57421875" style="0" customWidth="1"/>
    <col min="13" max="13" width="15.8515625" style="0" customWidth="1"/>
  </cols>
  <sheetData>
    <row r="1" ht="15.75">
      <c r="A1" s="16" t="s">
        <v>14</v>
      </c>
    </row>
    <row r="2" spans="2:13" ht="15">
      <c r="B2" s="1" t="s">
        <v>2</v>
      </c>
      <c r="L2" s="96" t="s">
        <v>46</v>
      </c>
      <c r="M2" s="96" t="s">
        <v>47</v>
      </c>
    </row>
    <row r="3" spans="2:13" s="2" customFormat="1" ht="36" customHeight="1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IF(SUM(B8:B55)=0,SA_RLWP,SUMPRODUCT(B8:B55,OFFSET(SA_PHH,0,0,48,1))/SUM(C8:C55))</f>
        <v>59.916615600787566</v>
      </c>
      <c r="C56" s="18"/>
      <c r="D56" s="16"/>
      <c r="E56" s="16"/>
      <c r="F56" s="18"/>
      <c r="G56" s="18">
        <f ca="1">IF(SUM(G8:G55)=0,SA_RLWP,SUMPRODUCT(G8:G55,OFFSET(SA_PHH,0,0,48,1))/SUM(H8:H55))</f>
        <v>59.916615600787566</v>
      </c>
      <c r="H56" s="3"/>
      <c r="L56" s="17">
        <f ca="1">IF(SUM(L8:L55)=0,SA_RLWP,SUMPRODUCT(L8:L55,OFFSET(SA_PHH,0,0,48,1))/SUM(L8:L55))</f>
        <v>59.916615600787566</v>
      </c>
      <c r="M56" s="17">
        <f ca="1">IF(SUM(M8:M55)=0,SA_RLWPC,SUMPRODUCT(M8:M55,OFFSET(SA_PHHC,0,0,48,1))/SUM(M8:M55))</f>
        <v>31.86699854270428</v>
      </c>
      <c r="N56" s="16" t="s">
        <v>68</v>
      </c>
    </row>
    <row r="57" spans="1:14" ht="15.75">
      <c r="A57" s="16" t="s">
        <v>67</v>
      </c>
      <c r="B57" s="18">
        <f>B56/SA_RLWP</f>
        <v>1</v>
      </c>
      <c r="C57" s="18"/>
      <c r="D57" s="16"/>
      <c r="E57" s="16"/>
      <c r="F57" s="18"/>
      <c r="G57" s="18">
        <f>G56/SA_RLWP</f>
        <v>1</v>
      </c>
      <c r="H57" s="3"/>
      <c r="L57" s="17">
        <f>L56/SA_RLWP</f>
        <v>1</v>
      </c>
      <c r="M57" s="17">
        <f>M56/SA_RLWP</f>
        <v>0.5318557836281629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7">
        <f>MAX(L57,L57^2)</f>
        <v>1</v>
      </c>
      <c r="M58" s="17">
        <f>MAX(M57,M57^2)</f>
        <v>0.5318557836281629</v>
      </c>
      <c r="N58" s="16" t="s">
        <v>43</v>
      </c>
    </row>
    <row r="59" spans="12:13" ht="15">
      <c r="L59" s="3"/>
      <c r="M59" s="3"/>
    </row>
    <row r="60" ht="15">
      <c r="B60" s="1" t="s">
        <v>2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D62" sqref="D62"/>
    </sheetView>
  </sheetViews>
  <sheetFormatPr defaultColWidth="9.140625" defaultRowHeight="15" outlineLevelRow="1"/>
  <cols>
    <col min="1" max="1" width="35.8515625" style="0" customWidth="1"/>
    <col min="2" max="2" width="11.421875" style="0" customWidth="1"/>
    <col min="3" max="3" width="10.7109375" style="0" customWidth="1"/>
    <col min="4" max="4" width="14.57421875" style="0" customWidth="1"/>
    <col min="5" max="5" width="14.140625" style="0" customWidth="1"/>
    <col min="6" max="6" width="14.8515625" style="0" customWidth="1"/>
    <col min="7" max="7" width="12.140625" style="0" customWidth="1"/>
    <col min="8" max="8" width="10.7109375" style="0" customWidth="1"/>
    <col min="9" max="9" width="14.00390625" style="0" customWidth="1"/>
    <col min="10" max="10" width="14.421875" style="0" customWidth="1"/>
    <col min="11" max="11" width="15.421875" style="0" customWidth="1"/>
    <col min="12" max="12" width="17.140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3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7">
        <f ca="1">IF(SUM(B8:B55)=0,TAS_RLWP,SUMPRODUCT(B8:B55,OFFSET(TAS_PHH,0,0,48,1))/SUM(C8:C55))</f>
        <v>42.94190223885353</v>
      </c>
      <c r="C56" s="3"/>
      <c r="F56" s="3"/>
      <c r="G56" s="17">
        <f ca="1">IF(SUM(G8:G55)=0,TAS_RLWP,SUMPRODUCT(G8:G55,OFFSET(TAS_PHH,0,0,48,1))/SUM(H8:H55))</f>
        <v>42.94190223885353</v>
      </c>
      <c r="H56" s="3"/>
      <c r="L56" s="17">
        <f ca="1">IF(SUM(L8:L55)=0,TAS_RLWP,SUMPRODUCT(L8:L55,OFFSET(TAS_PHH,0,0,48,1))/SUM(L8:L55))</f>
        <v>42.94190223885353</v>
      </c>
      <c r="M56" s="17">
        <f ca="1">IF(SUM(M8:M55)=0,TAS_RLWPC,SUMPRODUCT(M8:M55,OFFSET(TAS_PHHC,0,0,48,1))/SUM(M8:M55))</f>
        <v>40.086225392038514</v>
      </c>
      <c r="N56" s="16" t="s">
        <v>68</v>
      </c>
    </row>
    <row r="57" spans="1:14" ht="15.75">
      <c r="A57" s="16" t="s">
        <v>67</v>
      </c>
      <c r="B57" s="17">
        <f>B56/TAS_RLWP</f>
        <v>1</v>
      </c>
      <c r="C57" s="3"/>
      <c r="F57" s="3"/>
      <c r="G57" s="17">
        <f>G56/TAS_RLWP</f>
        <v>1</v>
      </c>
      <c r="H57" s="3"/>
      <c r="L57" s="17">
        <f>L56/TAS_RLWP</f>
        <v>1</v>
      </c>
      <c r="M57" s="17">
        <f>M56/TAS_RLWP</f>
        <v>0.9334990604065225</v>
      </c>
      <c r="N57" s="16" t="s">
        <v>69</v>
      </c>
    </row>
    <row r="58" spans="1:14" ht="15.75">
      <c r="A58" s="16" t="s">
        <v>43</v>
      </c>
      <c r="B58" s="17">
        <f>MAX(B57,B57^2)</f>
        <v>1</v>
      </c>
      <c r="C58" s="3"/>
      <c r="F58" s="3"/>
      <c r="G58" s="17">
        <f>MAX(G57,G57^2)</f>
        <v>1</v>
      </c>
      <c r="H58" s="3"/>
      <c r="L58" s="17">
        <f>MAX(L57,L57^2)</f>
        <v>1</v>
      </c>
      <c r="M58" s="17">
        <f>MAX(M57,M57^2)</f>
        <v>0.9334990604065225</v>
      </c>
      <c r="N58" s="16" t="s">
        <v>43</v>
      </c>
    </row>
    <row r="59" spans="12:13" ht="15">
      <c r="L59" s="3"/>
      <c r="M59" s="3"/>
    </row>
    <row r="60" ht="15.75">
      <c r="B60" s="16" t="s">
        <v>3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B80" sqref="B80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4.28125" style="0" customWidth="1"/>
    <col min="5" max="6" width="14.140625" style="0" customWidth="1"/>
    <col min="7" max="7" width="12.57421875" style="0" customWidth="1"/>
    <col min="8" max="8" width="10.7109375" style="0" customWidth="1"/>
    <col min="9" max="9" width="14.7109375" style="0" customWidth="1"/>
    <col min="10" max="10" width="15.28125" style="0" customWidth="1"/>
    <col min="11" max="11" width="14.7109375" style="0" customWidth="1"/>
    <col min="12" max="12" width="15.8515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4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IF(SUM(B8:B55)=0,VIC_RLWP,SUMPRODUCT(B8:B55,OFFSET(VIC_PHH,0,0,48,1))/SUM(C8:C55))</f>
        <v>38.53580983731966</v>
      </c>
      <c r="C56" s="18"/>
      <c r="D56" s="16"/>
      <c r="E56" s="16"/>
      <c r="F56" s="18"/>
      <c r="G56" s="18">
        <f ca="1">IF(SUM(G8:G55)=0,VIC_RLWP,SUMPRODUCT(G8:G55,OFFSET(VIC_PHH,0,0,48,1))/SUM(H8:H55))</f>
        <v>38.53580983731966</v>
      </c>
      <c r="H56" s="3"/>
      <c r="L56" s="18">
        <f ca="1">IF(SUM(L8:L55)=0,VIC_RLWP,SUMPRODUCT(L8:L55,OFFSET(VIC_PHH,0,0,48,1))/SUM(L8:L55))</f>
        <v>38.53580983731966</v>
      </c>
      <c r="M56" s="18">
        <f ca="1">IF(SUM(M8:M55)=0,VIC_RLWPC,SUMPRODUCT(M8:M55,OFFSET(VIC_PHHC,0,0,48,1))/SUM(M8:M55))</f>
        <v>27.92411647496997</v>
      </c>
      <c r="N56" s="16" t="s">
        <v>68</v>
      </c>
    </row>
    <row r="57" spans="1:14" ht="15.75">
      <c r="A57" s="16" t="s">
        <v>67</v>
      </c>
      <c r="B57" s="18">
        <f>B56/VIC_RLWP</f>
        <v>1</v>
      </c>
      <c r="C57" s="18"/>
      <c r="D57" s="16"/>
      <c r="E57" s="16"/>
      <c r="F57" s="18"/>
      <c r="G57" s="18">
        <f>G56/VIC_RLWP</f>
        <v>1</v>
      </c>
      <c r="H57" s="3"/>
      <c r="L57" s="18">
        <f>L56/VIC_RLWP</f>
        <v>1</v>
      </c>
      <c r="M57" s="18">
        <f>M56/VIC_RLWP</f>
        <v>0.7246277317864256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8">
        <f>MAX(L57,L57^2)</f>
        <v>1</v>
      </c>
      <c r="M58" s="18">
        <f>MAX(M57,M57^2)</f>
        <v>0.7246277317864256</v>
      </c>
      <c r="N58" s="16" t="s">
        <v>43</v>
      </c>
    </row>
    <row r="59" spans="12:13" ht="15">
      <c r="L59" s="3"/>
      <c r="M59" s="3"/>
    </row>
    <row r="60" ht="15.75">
      <c r="B60" s="16" t="s">
        <v>4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3"/>
  <sheetViews>
    <sheetView zoomScale="80" zoomScaleNormal="80" zoomScalePageLayoutView="0" workbookViewId="0" topLeftCell="A1">
      <selection activeCell="C72" sqref="C72"/>
    </sheetView>
  </sheetViews>
  <sheetFormatPr defaultColWidth="9.140625" defaultRowHeight="15" outlineLevelRow="1"/>
  <cols>
    <col min="1" max="1" width="37.7109375" style="0" customWidth="1"/>
    <col min="2" max="2" width="10.7109375" style="0" customWidth="1"/>
    <col min="3" max="3" width="12.28125" style="0" customWidth="1"/>
    <col min="4" max="5" width="12.140625" style="0" customWidth="1"/>
    <col min="6" max="6" width="10.28125" style="0" customWidth="1"/>
    <col min="11" max="11" width="10.57421875" style="0" customWidth="1"/>
    <col min="12" max="16" width="9.140625" style="0" customWidth="1"/>
  </cols>
  <sheetData>
    <row r="1" ht="15.75">
      <c r="A1" s="16" t="s">
        <v>15</v>
      </c>
    </row>
    <row r="2" spans="1:13" ht="30" customHeight="1">
      <c r="A2" s="16"/>
      <c r="B2" s="99" t="s">
        <v>22</v>
      </c>
      <c r="C2" s="99"/>
      <c r="G2" s="2" t="s">
        <v>16</v>
      </c>
      <c r="L2" s="99" t="s">
        <v>21</v>
      </c>
      <c r="M2" s="99"/>
    </row>
    <row r="3" spans="1:11" s="2" customFormat="1" ht="18.75">
      <c r="A3" s="12"/>
      <c r="B3" s="12" t="s">
        <v>83</v>
      </c>
      <c r="C3" s="12" t="s">
        <v>83</v>
      </c>
      <c r="D3" s="12" t="s">
        <v>83</v>
      </c>
      <c r="E3" s="12" t="s">
        <v>83</v>
      </c>
      <c r="F3" s="12" t="s">
        <v>83</v>
      </c>
      <c r="G3" s="12" t="s">
        <v>74</v>
      </c>
      <c r="H3" s="12" t="s">
        <v>74</v>
      </c>
      <c r="I3" s="12" t="s">
        <v>74</v>
      </c>
      <c r="J3" s="12" t="s">
        <v>74</v>
      </c>
      <c r="K3" s="12" t="s">
        <v>74</v>
      </c>
    </row>
    <row r="4" spans="1:11" s="2" customFormat="1" ht="15.75">
      <c r="A4" s="12"/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0</v>
      </c>
      <c r="H4" t="s">
        <v>1</v>
      </c>
      <c r="I4" t="s">
        <v>2</v>
      </c>
      <c r="J4" t="s">
        <v>3</v>
      </c>
      <c r="K4" t="s">
        <v>4</v>
      </c>
    </row>
    <row r="5" spans="1:11" ht="15.75">
      <c r="A5" s="16" t="s">
        <v>13</v>
      </c>
      <c r="B5" s="38">
        <v>193763.5837</v>
      </c>
      <c r="C5" s="39">
        <v>135722.7385</v>
      </c>
      <c r="D5" s="39">
        <v>36674.67849</v>
      </c>
      <c r="E5" s="39">
        <v>26677.52034</v>
      </c>
      <c r="F5" s="39">
        <v>118245.3764</v>
      </c>
      <c r="G5" s="84">
        <v>40.78</v>
      </c>
      <c r="H5" s="85">
        <v>41.94</v>
      </c>
      <c r="I5" s="85">
        <v>53.81</v>
      </c>
      <c r="J5" s="85">
        <v>42.89</v>
      </c>
      <c r="K5" s="86">
        <v>36.85</v>
      </c>
    </row>
    <row r="6" spans="1:16" ht="15.75">
      <c r="A6" s="16"/>
      <c r="B6" s="45"/>
      <c r="C6" s="45"/>
      <c r="D6" s="45"/>
      <c r="E6" s="45"/>
      <c r="F6" s="45"/>
      <c r="G6" s="83" t="s">
        <v>86</v>
      </c>
      <c r="H6" s="73"/>
      <c r="I6" s="73"/>
      <c r="J6" s="73"/>
      <c r="K6" s="73"/>
      <c r="L6" s="46"/>
      <c r="M6" s="46"/>
      <c r="N6" s="46"/>
      <c r="O6" s="46"/>
      <c r="P6" s="46"/>
    </row>
    <row r="7" spans="1:16" ht="15.75">
      <c r="A7" s="16"/>
      <c r="B7" s="45"/>
      <c r="C7" s="45"/>
      <c r="D7" s="45"/>
      <c r="E7" s="45"/>
      <c r="F7" s="45"/>
      <c r="G7" s="83"/>
      <c r="H7" s="73"/>
      <c r="I7" s="73"/>
      <c r="J7" s="73"/>
      <c r="K7" s="73"/>
      <c r="L7" s="46"/>
      <c r="M7" s="46"/>
      <c r="N7" s="46"/>
      <c r="O7" s="46"/>
      <c r="P7" s="46"/>
    </row>
    <row r="8" spans="1:16" ht="18.75">
      <c r="A8" s="16"/>
      <c r="B8" s="12" t="s">
        <v>82</v>
      </c>
      <c r="C8" s="12" t="s">
        <v>82</v>
      </c>
      <c r="D8" s="12" t="s">
        <v>82</v>
      </c>
      <c r="E8" s="12" t="s">
        <v>82</v>
      </c>
      <c r="F8" s="12" t="s">
        <v>82</v>
      </c>
      <c r="G8" s="12" t="s">
        <v>84</v>
      </c>
      <c r="H8" s="12" t="s">
        <v>84</v>
      </c>
      <c r="I8" s="12" t="s">
        <v>84</v>
      </c>
      <c r="J8" s="12" t="s">
        <v>84</v>
      </c>
      <c r="K8" s="12" t="s">
        <v>84</v>
      </c>
      <c r="L8" s="12" t="s">
        <v>85</v>
      </c>
      <c r="M8" s="12" t="s">
        <v>85</v>
      </c>
      <c r="N8" s="12" t="s">
        <v>85</v>
      </c>
      <c r="O8" s="12" t="s">
        <v>85</v>
      </c>
      <c r="P8" s="12" t="s">
        <v>85</v>
      </c>
    </row>
    <row r="9" spans="1:16" ht="15.75">
      <c r="A9" s="16" t="s">
        <v>19</v>
      </c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0</v>
      </c>
      <c r="H9" t="s">
        <v>1</v>
      </c>
      <c r="I9" t="s">
        <v>2</v>
      </c>
      <c r="J9" t="s">
        <v>3</v>
      </c>
      <c r="K9" t="s">
        <v>4</v>
      </c>
      <c r="L9" t="s">
        <v>0</v>
      </c>
      <c r="M9" t="s">
        <v>1</v>
      </c>
      <c r="N9" t="s">
        <v>2</v>
      </c>
      <c r="O9" t="s">
        <v>3</v>
      </c>
      <c r="P9" t="s">
        <v>4</v>
      </c>
    </row>
    <row r="10" spans="1:16" ht="15">
      <c r="A10">
        <v>1</v>
      </c>
      <c r="B10" s="40">
        <v>3491.358481581176</v>
      </c>
      <c r="C10" s="41">
        <v>2420.156122580995</v>
      </c>
      <c r="D10" s="41">
        <v>738.972428634103</v>
      </c>
      <c r="E10" s="41">
        <v>500.02648121625697</v>
      </c>
      <c r="F10" s="41">
        <v>2063.116272342628</v>
      </c>
      <c r="G10" s="87">
        <v>21.097590255539465</v>
      </c>
      <c r="H10" s="42">
        <v>19.694518784129293</v>
      </c>
      <c r="I10" s="42">
        <v>25.407137875773603</v>
      </c>
      <c r="J10" s="42">
        <v>37.20184266064986</v>
      </c>
      <c r="K10" s="43">
        <v>20.082828773579855</v>
      </c>
      <c r="L10" s="42">
        <v>21.086526162650156</v>
      </c>
      <c r="M10" s="42">
        <v>19.68660416915725</v>
      </c>
      <c r="N10" s="42">
        <v>25.295102420571975</v>
      </c>
      <c r="O10" s="42">
        <v>37.018667178459516</v>
      </c>
      <c r="P10" s="43">
        <v>19.762244359302912</v>
      </c>
    </row>
    <row r="11" spans="1:16" ht="15">
      <c r="A11">
        <v>2</v>
      </c>
      <c r="B11" s="44">
        <v>3386.9802835008236</v>
      </c>
      <c r="C11" s="45">
        <v>2343.9340887271683</v>
      </c>
      <c r="D11" s="45">
        <v>713.5723597848942</v>
      </c>
      <c r="E11" s="45">
        <v>496.87439451070026</v>
      </c>
      <c r="F11" s="45">
        <v>2000.437397245039</v>
      </c>
      <c r="G11" s="88">
        <v>19.709428814611588</v>
      </c>
      <c r="H11" s="46">
        <v>18.425593827640558</v>
      </c>
      <c r="I11" s="46">
        <v>27.731471571550266</v>
      </c>
      <c r="J11" s="46">
        <v>35.852711218835</v>
      </c>
      <c r="K11" s="47">
        <v>18.571164896027565</v>
      </c>
      <c r="L11" s="46">
        <v>19.710078246644258</v>
      </c>
      <c r="M11" s="46">
        <v>18.428251694659252</v>
      </c>
      <c r="N11" s="46">
        <v>24.179497869080503</v>
      </c>
      <c r="O11" s="46">
        <v>35.21718690551466</v>
      </c>
      <c r="P11" s="47">
        <v>18.192754128686754</v>
      </c>
    </row>
    <row r="12" spans="1:16" ht="15" hidden="1" outlineLevel="1">
      <c r="A12">
        <v>3</v>
      </c>
      <c r="B12" s="44">
        <v>3240.30786949385</v>
      </c>
      <c r="C12" s="45">
        <v>2270.242295909353</v>
      </c>
      <c r="D12" s="45">
        <v>666.9929663018265</v>
      </c>
      <c r="E12" s="45">
        <v>494.8810565634226</v>
      </c>
      <c r="F12" s="45">
        <v>2142.1517882878497</v>
      </c>
      <c r="G12" s="88">
        <v>20.41357285523988</v>
      </c>
      <c r="H12" s="46">
        <v>18.007418697632577</v>
      </c>
      <c r="I12" s="46">
        <v>26.70352223481255</v>
      </c>
      <c r="J12" s="46">
        <v>36.01232176623123</v>
      </c>
      <c r="K12" s="47">
        <v>21.769958451066046</v>
      </c>
      <c r="L12" s="46">
        <v>20.40108377207666</v>
      </c>
      <c r="M12" s="46">
        <v>18.011853067196938</v>
      </c>
      <c r="N12" s="46">
        <v>23.921856935468295</v>
      </c>
      <c r="O12" s="46">
        <v>36.193949149266984</v>
      </c>
      <c r="P12" s="47">
        <v>20.843962852141182</v>
      </c>
    </row>
    <row r="13" spans="1:16" ht="15" hidden="1" outlineLevel="1">
      <c r="A13">
        <v>4</v>
      </c>
      <c r="B13" s="44">
        <v>3122.471387792154</v>
      </c>
      <c r="C13" s="45">
        <v>2214.0008632741847</v>
      </c>
      <c r="D13" s="45">
        <v>630.3159883178097</v>
      </c>
      <c r="E13" s="45">
        <v>493.62322828916547</v>
      </c>
      <c r="F13" s="45">
        <v>2072.0512071093267</v>
      </c>
      <c r="G13" s="88">
        <v>19.226338206522023</v>
      </c>
      <c r="H13" s="46">
        <v>17.76501858397795</v>
      </c>
      <c r="I13" s="46">
        <v>21.964613936855045</v>
      </c>
      <c r="J13" s="46">
        <v>34.83357889754916</v>
      </c>
      <c r="K13" s="47">
        <v>17.505980783550207</v>
      </c>
      <c r="L13" s="46">
        <v>18.02058067992129</v>
      </c>
      <c r="M13" s="46">
        <v>16.628894724926962</v>
      </c>
      <c r="N13" s="46">
        <v>19.77069544411794</v>
      </c>
      <c r="O13" s="46">
        <v>34.96164931575508</v>
      </c>
      <c r="P13" s="47">
        <v>17.47347472932402</v>
      </c>
    </row>
    <row r="14" spans="1:16" ht="15" hidden="1" outlineLevel="1">
      <c r="A14">
        <v>5</v>
      </c>
      <c r="B14" s="44">
        <v>3045.644525326853</v>
      </c>
      <c r="C14" s="45">
        <v>2180.9682697887556</v>
      </c>
      <c r="D14" s="45">
        <v>606.4067428953014</v>
      </c>
      <c r="E14" s="45">
        <v>493.4812384225479</v>
      </c>
      <c r="F14" s="45">
        <v>1980.1847309682423</v>
      </c>
      <c r="G14" s="88">
        <v>16.518652558279804</v>
      </c>
      <c r="H14" s="46">
        <v>15.761685831718074</v>
      </c>
      <c r="I14" s="46">
        <v>18.64760507368273</v>
      </c>
      <c r="J14" s="46">
        <v>32.71449423433669</v>
      </c>
      <c r="K14" s="47">
        <v>14.890495681697843</v>
      </c>
      <c r="L14" s="46">
        <v>16.498174902559057</v>
      </c>
      <c r="M14" s="46">
        <v>15.569367800616021</v>
      </c>
      <c r="N14" s="46">
        <v>16.523814280898865</v>
      </c>
      <c r="O14" s="46">
        <v>32.41193176339253</v>
      </c>
      <c r="P14" s="47">
        <v>14.865100596543233</v>
      </c>
    </row>
    <row r="15" spans="1:16" ht="15" hidden="1" outlineLevel="1">
      <c r="A15">
        <v>6</v>
      </c>
      <c r="B15" s="44">
        <v>3006.6980899184123</v>
      </c>
      <c r="C15" s="45">
        <v>2161.549212540738</v>
      </c>
      <c r="D15" s="45">
        <v>592.3561891467166</v>
      </c>
      <c r="E15" s="45">
        <v>493.0134407651474</v>
      </c>
      <c r="F15" s="45">
        <v>1916.7318056834258</v>
      </c>
      <c r="G15" s="88">
        <v>15.688503728490222</v>
      </c>
      <c r="H15" s="46">
        <v>15.138728433664287</v>
      </c>
      <c r="I15" s="46">
        <v>17.285421996318036</v>
      </c>
      <c r="J15" s="46">
        <v>33.12489318041395</v>
      </c>
      <c r="K15" s="47">
        <v>14.19886322100283</v>
      </c>
      <c r="L15" s="46">
        <v>15.688665778768222</v>
      </c>
      <c r="M15" s="46">
        <v>15.045355991323472</v>
      </c>
      <c r="N15" s="46">
        <v>15.768304832785804</v>
      </c>
      <c r="O15" s="46">
        <v>31.88099129903153</v>
      </c>
      <c r="P15" s="47">
        <v>14.197910942092365</v>
      </c>
    </row>
    <row r="16" spans="1:16" ht="15" hidden="1" outlineLevel="1">
      <c r="A16">
        <v>7</v>
      </c>
      <c r="B16" s="44">
        <v>2998.0196117102337</v>
      </c>
      <c r="C16" s="45">
        <v>2151.6990998366127</v>
      </c>
      <c r="D16" s="45">
        <v>583.6397391541193</v>
      </c>
      <c r="E16" s="45">
        <v>493.4139304696274</v>
      </c>
      <c r="F16" s="45">
        <v>1884.8186949526696</v>
      </c>
      <c r="G16" s="88">
        <v>15.201241186020955</v>
      </c>
      <c r="H16" s="46">
        <v>14.905295278817876</v>
      </c>
      <c r="I16" s="46">
        <v>14.996590728768211</v>
      </c>
      <c r="J16" s="46">
        <v>32.28132683332606</v>
      </c>
      <c r="K16" s="47">
        <v>13.103901939750362</v>
      </c>
      <c r="L16" s="46">
        <v>15.201362707564043</v>
      </c>
      <c r="M16" s="46">
        <v>14.891820979312977</v>
      </c>
      <c r="N16" s="46">
        <v>13.87609170519547</v>
      </c>
      <c r="O16" s="46">
        <v>31.319135080252394</v>
      </c>
      <c r="P16" s="47">
        <v>13.104213078840013</v>
      </c>
    </row>
    <row r="17" spans="1:16" ht="15" hidden="1" outlineLevel="1">
      <c r="A17">
        <v>8</v>
      </c>
      <c r="B17" s="44">
        <v>3017.160376796786</v>
      </c>
      <c r="C17" s="45">
        <v>2147.0801195013332</v>
      </c>
      <c r="D17" s="45">
        <v>580.5940593562434</v>
      </c>
      <c r="E17" s="45">
        <v>495.23770397315843</v>
      </c>
      <c r="F17" s="45">
        <v>1872.0543633669404</v>
      </c>
      <c r="G17" s="88">
        <v>15.213916757426551</v>
      </c>
      <c r="H17" s="46">
        <v>14.885841023576269</v>
      </c>
      <c r="I17" s="46">
        <v>13.354894019983274</v>
      </c>
      <c r="J17" s="46">
        <v>31.714415941097222</v>
      </c>
      <c r="K17" s="47">
        <v>13.084392328495285</v>
      </c>
      <c r="L17" s="46">
        <v>15.213916757426551</v>
      </c>
      <c r="M17" s="46">
        <v>14.885841023576269</v>
      </c>
      <c r="N17" s="46">
        <v>13.310608221491444</v>
      </c>
      <c r="O17" s="46">
        <v>31.849311338383913</v>
      </c>
      <c r="P17" s="47">
        <v>13.084392328495285</v>
      </c>
    </row>
    <row r="18" spans="1:16" ht="15" hidden="1" outlineLevel="1">
      <c r="A18">
        <v>9</v>
      </c>
      <c r="B18" s="44">
        <v>3093.258717782799</v>
      </c>
      <c r="C18" s="45">
        <v>2156.8775665218227</v>
      </c>
      <c r="D18" s="45">
        <v>581.360657484018</v>
      </c>
      <c r="E18" s="45">
        <v>500.096614591227</v>
      </c>
      <c r="F18" s="45">
        <v>1901.097703510712</v>
      </c>
      <c r="G18" s="88">
        <v>16.311556209735528</v>
      </c>
      <c r="H18" s="46">
        <v>15.340399350296622</v>
      </c>
      <c r="I18" s="46">
        <v>15.093186596111142</v>
      </c>
      <c r="J18" s="46">
        <v>32.93449566458527</v>
      </c>
      <c r="K18" s="47">
        <v>13.881686127706576</v>
      </c>
      <c r="L18" s="46">
        <v>16.311556209735528</v>
      </c>
      <c r="M18" s="46">
        <v>15.340399350296622</v>
      </c>
      <c r="N18" s="46">
        <v>15.028476215682833</v>
      </c>
      <c r="O18" s="46">
        <v>31.688191094529564</v>
      </c>
      <c r="P18" s="47">
        <v>13.8809834351283</v>
      </c>
    </row>
    <row r="19" spans="1:16" ht="15" hidden="1" outlineLevel="1">
      <c r="A19">
        <v>10</v>
      </c>
      <c r="B19" s="44">
        <v>3189.0285483475864</v>
      </c>
      <c r="C19" s="45">
        <v>2178.3136528638934</v>
      </c>
      <c r="D19" s="45">
        <v>588.9516236764587</v>
      </c>
      <c r="E19" s="45">
        <v>508.1882803857343</v>
      </c>
      <c r="F19" s="45">
        <v>1954.320578477606</v>
      </c>
      <c r="G19" s="88">
        <v>17.16032009273694</v>
      </c>
      <c r="H19" s="46">
        <v>17.291647324793537</v>
      </c>
      <c r="I19" s="46">
        <v>16.868147861204744</v>
      </c>
      <c r="J19" s="46">
        <v>32.72964946519507</v>
      </c>
      <c r="K19" s="47">
        <v>15.113562303410834</v>
      </c>
      <c r="L19" s="46">
        <v>17.159220681291337</v>
      </c>
      <c r="M19" s="46">
        <v>16.34143058209981</v>
      </c>
      <c r="N19" s="46">
        <v>16.816780199603517</v>
      </c>
      <c r="O19" s="46">
        <v>32.52086388032909</v>
      </c>
      <c r="P19" s="47">
        <v>15.11008556820899</v>
      </c>
    </row>
    <row r="20" spans="1:16" ht="15" hidden="1" outlineLevel="1">
      <c r="A20">
        <v>11</v>
      </c>
      <c r="B20" s="44">
        <v>3381.5975556192902</v>
      </c>
      <c r="C20" s="45">
        <v>2228.4066084316078</v>
      </c>
      <c r="D20" s="45">
        <v>599.8611050212103</v>
      </c>
      <c r="E20" s="45">
        <v>526.327389713791</v>
      </c>
      <c r="F20" s="45">
        <v>2068.7438138900743</v>
      </c>
      <c r="G20" s="88">
        <v>19.76942587587116</v>
      </c>
      <c r="H20" s="46">
        <v>17.12361106094679</v>
      </c>
      <c r="I20" s="46">
        <v>19.212191843574494</v>
      </c>
      <c r="J20" s="46">
        <v>38.846774403417804</v>
      </c>
      <c r="K20" s="47">
        <v>17.29781315785782</v>
      </c>
      <c r="L20" s="46">
        <v>19.77009645408149</v>
      </c>
      <c r="M20" s="46">
        <v>16.94964461137498</v>
      </c>
      <c r="N20" s="46">
        <v>19.187439455641652</v>
      </c>
      <c r="O20" s="46">
        <v>36.11901799515558</v>
      </c>
      <c r="P20" s="47">
        <v>17.283185888152648</v>
      </c>
    </row>
    <row r="21" spans="1:16" ht="15" hidden="1" outlineLevel="1">
      <c r="A21">
        <v>12</v>
      </c>
      <c r="B21" s="44">
        <v>3568.9223999987125</v>
      </c>
      <c r="C21" s="45">
        <v>2294.853753446801</v>
      </c>
      <c r="D21" s="45">
        <v>624.2312937746887</v>
      </c>
      <c r="E21" s="45">
        <v>547.896595587792</v>
      </c>
      <c r="F21" s="45">
        <v>2189.0234152592684</v>
      </c>
      <c r="G21" s="88">
        <v>21.498889136471117</v>
      </c>
      <c r="H21" s="46">
        <v>18.61145232367485</v>
      </c>
      <c r="I21" s="46">
        <v>22.08156893337128</v>
      </c>
      <c r="J21" s="46">
        <v>37.204584330033896</v>
      </c>
      <c r="K21" s="47">
        <v>20.214304710283237</v>
      </c>
      <c r="L21" s="46">
        <v>21.499144623471953</v>
      </c>
      <c r="M21" s="46">
        <v>18.593107166771816</v>
      </c>
      <c r="N21" s="46">
        <v>21.970005175109165</v>
      </c>
      <c r="O21" s="46">
        <v>37.70840523849778</v>
      </c>
      <c r="P21" s="47">
        <v>20.204238095537818</v>
      </c>
    </row>
    <row r="22" spans="1:16" ht="15" hidden="1" outlineLevel="1">
      <c r="A22">
        <v>13</v>
      </c>
      <c r="B22" s="44">
        <v>3748.4823541393625</v>
      </c>
      <c r="C22" s="45">
        <v>2431.500655120517</v>
      </c>
      <c r="D22" s="45">
        <v>651.8466473973219</v>
      </c>
      <c r="E22" s="45">
        <v>575.1304268013909</v>
      </c>
      <c r="F22" s="45">
        <v>2353.8461557626392</v>
      </c>
      <c r="G22" s="88">
        <v>23.672458000294753</v>
      </c>
      <c r="H22" s="46">
        <v>22.01149368044155</v>
      </c>
      <c r="I22" s="46">
        <v>25.929078196057965</v>
      </c>
      <c r="J22" s="46">
        <v>40.02486039859451</v>
      </c>
      <c r="K22" s="47">
        <v>24.239407415619464</v>
      </c>
      <c r="L22" s="46">
        <v>23.466002397920413</v>
      </c>
      <c r="M22" s="46">
        <v>21.018329851264344</v>
      </c>
      <c r="N22" s="46">
        <v>25.00902225704222</v>
      </c>
      <c r="O22" s="46">
        <v>39.344522758878085</v>
      </c>
      <c r="P22" s="47">
        <v>23.40798658001862</v>
      </c>
    </row>
    <row r="23" spans="1:16" ht="15" hidden="1" outlineLevel="1">
      <c r="A23">
        <v>14</v>
      </c>
      <c r="B23" s="44">
        <v>3922.3861185556016</v>
      </c>
      <c r="C23" s="45">
        <v>2578.8760208248555</v>
      </c>
      <c r="D23" s="45">
        <v>694.3119386087258</v>
      </c>
      <c r="E23" s="45">
        <v>594.4347068394036</v>
      </c>
      <c r="F23" s="45">
        <v>2476.1775591136684</v>
      </c>
      <c r="G23" s="88">
        <v>27.07801488455038</v>
      </c>
      <c r="H23" s="46">
        <v>23.433662059024993</v>
      </c>
      <c r="I23" s="46">
        <v>30.559322608049595</v>
      </c>
      <c r="J23" s="46">
        <v>39.99130709942695</v>
      </c>
      <c r="K23" s="47">
        <v>27.960498700157306</v>
      </c>
      <c r="L23" s="46">
        <v>26.10065074699477</v>
      </c>
      <c r="M23" s="46">
        <v>23.24256978800997</v>
      </c>
      <c r="N23" s="46">
        <v>29.09002745560717</v>
      </c>
      <c r="O23" s="46">
        <v>41.879762453220636</v>
      </c>
      <c r="P23" s="47">
        <v>26.82323931926872</v>
      </c>
    </row>
    <row r="24" spans="1:16" ht="15" hidden="1" outlineLevel="1">
      <c r="A24">
        <v>15</v>
      </c>
      <c r="B24" s="44">
        <v>4057.4033180399474</v>
      </c>
      <c r="C24" s="45">
        <v>2748.1407362104633</v>
      </c>
      <c r="D24" s="45">
        <v>730.2697584303203</v>
      </c>
      <c r="E24" s="45">
        <v>601.6805117282922</v>
      </c>
      <c r="F24" s="45">
        <v>2505.635510670766</v>
      </c>
      <c r="G24" s="88">
        <v>24.126368420814803</v>
      </c>
      <c r="H24" s="46">
        <v>25.437330321439667</v>
      </c>
      <c r="I24" s="46">
        <v>31.20835386246101</v>
      </c>
      <c r="J24" s="46">
        <v>48.551348235749956</v>
      </c>
      <c r="K24" s="47">
        <v>24.069867612968956</v>
      </c>
      <c r="L24" s="46">
        <v>24.143419334865175</v>
      </c>
      <c r="M24" s="46">
        <v>23.403555311211676</v>
      </c>
      <c r="N24" s="46">
        <v>27.38925341816327</v>
      </c>
      <c r="O24" s="46">
        <v>41.47520251573458</v>
      </c>
      <c r="P24" s="47">
        <v>24.052428181242085</v>
      </c>
    </row>
    <row r="25" spans="1:16" ht="15" hidden="1" outlineLevel="1">
      <c r="A25">
        <v>16</v>
      </c>
      <c r="B25" s="44">
        <v>4179.447848257503</v>
      </c>
      <c r="C25" s="45">
        <v>2869.800262382443</v>
      </c>
      <c r="D25" s="45">
        <v>737.649113820725</v>
      </c>
      <c r="E25" s="45">
        <v>602.9190254885093</v>
      </c>
      <c r="F25" s="45">
        <v>2553.5459196178463</v>
      </c>
      <c r="G25" s="88">
        <v>25.546431145553647</v>
      </c>
      <c r="H25" s="46">
        <v>27.028024727704466</v>
      </c>
      <c r="I25" s="46">
        <v>30.3807804532709</v>
      </c>
      <c r="J25" s="46">
        <v>42.47328095782811</v>
      </c>
      <c r="K25" s="47">
        <v>27.408957509322263</v>
      </c>
      <c r="L25" s="46">
        <v>25.571287083904853</v>
      </c>
      <c r="M25" s="46">
        <v>25.80893619870948</v>
      </c>
      <c r="N25" s="46">
        <v>28.42969944299618</v>
      </c>
      <c r="O25" s="46">
        <v>40.70490886335045</v>
      </c>
      <c r="P25" s="47">
        <v>25.53681096098424</v>
      </c>
    </row>
    <row r="26" spans="1:16" ht="15" hidden="1" outlineLevel="1">
      <c r="A26">
        <v>17</v>
      </c>
      <c r="B26" s="44">
        <v>4315.803353910194</v>
      </c>
      <c r="C26" s="45">
        <v>2966.6993983390307</v>
      </c>
      <c r="D26" s="45">
        <v>757.5430968255973</v>
      </c>
      <c r="E26" s="45">
        <v>602.4461498578488</v>
      </c>
      <c r="F26" s="45">
        <v>2617.3044894868044</v>
      </c>
      <c r="G26" s="88">
        <v>28.18335558182899</v>
      </c>
      <c r="H26" s="46">
        <v>33.05369372046874</v>
      </c>
      <c r="I26" s="46">
        <v>39.27300327840443</v>
      </c>
      <c r="J26" s="46">
        <v>45.7337716068371</v>
      </c>
      <c r="K26" s="47">
        <v>35.54899980969772</v>
      </c>
      <c r="L26" s="46">
        <v>28.518486865887162</v>
      </c>
      <c r="M26" s="46">
        <v>29.313178469450754</v>
      </c>
      <c r="N26" s="46">
        <v>31.7100422785206</v>
      </c>
      <c r="O26" s="46">
        <v>43.202005406233766</v>
      </c>
      <c r="P26" s="47">
        <v>28.532972888791157</v>
      </c>
    </row>
    <row r="27" spans="1:16" ht="15" hidden="1" outlineLevel="1">
      <c r="A27">
        <v>18</v>
      </c>
      <c r="B27" s="44">
        <v>4402.524703680366</v>
      </c>
      <c r="C27" s="45">
        <v>3039.0909965712285</v>
      </c>
      <c r="D27" s="45">
        <v>779.3849389797263</v>
      </c>
      <c r="E27" s="45">
        <v>598.4040237409235</v>
      </c>
      <c r="F27" s="45">
        <v>2656.7783946704726</v>
      </c>
      <c r="G27" s="88">
        <v>29.399851333563717</v>
      </c>
      <c r="H27" s="46">
        <v>34.9939532541404</v>
      </c>
      <c r="I27" s="46">
        <v>42.96274900871329</v>
      </c>
      <c r="J27" s="46">
        <v>43.418216865394626</v>
      </c>
      <c r="K27" s="47">
        <v>37.21780203100414</v>
      </c>
      <c r="L27" s="46">
        <v>29.692790940620377</v>
      </c>
      <c r="M27" s="46">
        <v>30.895431313787675</v>
      </c>
      <c r="N27" s="46">
        <v>33.18725538292017</v>
      </c>
      <c r="O27" s="46">
        <v>42.33361693688195</v>
      </c>
      <c r="P27" s="47">
        <v>29.746865875706316</v>
      </c>
    </row>
    <row r="28" spans="1:16" ht="15" hidden="1" outlineLevel="1">
      <c r="A28">
        <v>19</v>
      </c>
      <c r="B28" s="44">
        <v>4471.121929305695</v>
      </c>
      <c r="C28" s="45">
        <v>3092.6360415686554</v>
      </c>
      <c r="D28" s="45">
        <v>793.3879684447284</v>
      </c>
      <c r="E28" s="45">
        <v>592.7268677263393</v>
      </c>
      <c r="F28" s="45">
        <v>2694.539519357397</v>
      </c>
      <c r="G28" s="88">
        <v>31.65343131218468</v>
      </c>
      <c r="H28" s="46">
        <v>38.64478506516622</v>
      </c>
      <c r="I28" s="46">
        <v>38.33107625539959</v>
      </c>
      <c r="J28" s="46">
        <v>57.02308454230698</v>
      </c>
      <c r="K28" s="47">
        <v>33.40376920182559</v>
      </c>
      <c r="L28" s="46">
        <v>31.363951223274857</v>
      </c>
      <c r="M28" s="46">
        <v>32.38681990579193</v>
      </c>
      <c r="N28" s="46">
        <v>34.49403647742438</v>
      </c>
      <c r="O28" s="46">
        <v>45.24118354413556</v>
      </c>
      <c r="P28" s="47">
        <v>31.18488116473928</v>
      </c>
    </row>
    <row r="29" spans="1:16" ht="15" hidden="1" outlineLevel="1">
      <c r="A29">
        <v>20</v>
      </c>
      <c r="B29" s="44">
        <v>4506.267452449566</v>
      </c>
      <c r="C29" s="45">
        <v>3123.2563985969746</v>
      </c>
      <c r="D29" s="45">
        <v>806.2581464684898</v>
      </c>
      <c r="E29" s="45">
        <v>588.3951163967819</v>
      </c>
      <c r="F29" s="45">
        <v>2725.338848128426</v>
      </c>
      <c r="G29" s="88">
        <v>32.69145157333075</v>
      </c>
      <c r="H29" s="46">
        <v>39.396608258524985</v>
      </c>
      <c r="I29" s="46">
        <v>44.63205934046955</v>
      </c>
      <c r="J29" s="46">
        <v>55.35088801765357</v>
      </c>
      <c r="K29" s="47">
        <v>38.04822244861142</v>
      </c>
      <c r="L29" s="46">
        <v>32.14426887743886</v>
      </c>
      <c r="M29" s="46">
        <v>32.75538935860753</v>
      </c>
      <c r="N29" s="46">
        <v>35.69049139715267</v>
      </c>
      <c r="O29" s="46">
        <v>45.63543244504455</v>
      </c>
      <c r="P29" s="47">
        <v>32.14383001406981</v>
      </c>
    </row>
    <row r="30" spans="1:16" ht="15" hidden="1" outlineLevel="1">
      <c r="A30">
        <v>21</v>
      </c>
      <c r="B30" s="44">
        <v>4526.9756802114825</v>
      </c>
      <c r="C30" s="45">
        <v>3147.76955439449</v>
      </c>
      <c r="D30" s="45">
        <v>818.8994995084518</v>
      </c>
      <c r="E30" s="45">
        <v>585.0953848589173</v>
      </c>
      <c r="F30" s="45">
        <v>2754.0549934569813</v>
      </c>
      <c r="G30" s="88">
        <v>37.854554048627804</v>
      </c>
      <c r="H30" s="46">
        <v>39.20236846291699</v>
      </c>
      <c r="I30" s="46">
        <v>41.202619216965424</v>
      </c>
      <c r="J30" s="46">
        <v>52.43085818679901</v>
      </c>
      <c r="K30" s="47">
        <v>37.87819473067668</v>
      </c>
      <c r="L30" s="46">
        <v>32.75244657853835</v>
      </c>
      <c r="M30" s="46">
        <v>33.00488880223651</v>
      </c>
      <c r="N30" s="46">
        <v>36.84408233959384</v>
      </c>
      <c r="O30" s="46">
        <v>46.04855995170264</v>
      </c>
      <c r="P30" s="47">
        <v>32.91737026903963</v>
      </c>
    </row>
    <row r="31" spans="1:16" ht="15" hidden="1" outlineLevel="1">
      <c r="A31">
        <v>22</v>
      </c>
      <c r="B31" s="44">
        <v>4555.532838776815</v>
      </c>
      <c r="C31" s="45">
        <v>3167.5731915231318</v>
      </c>
      <c r="D31" s="45">
        <v>830.262940539321</v>
      </c>
      <c r="E31" s="45">
        <v>581.7604698634927</v>
      </c>
      <c r="F31" s="45">
        <v>2778.2625644042914</v>
      </c>
      <c r="G31" s="88">
        <v>44.08816821908553</v>
      </c>
      <c r="H31" s="46">
        <v>46.65440030979161</v>
      </c>
      <c r="I31" s="46">
        <v>43.84855692487685</v>
      </c>
      <c r="J31" s="46">
        <v>57.88945201834522</v>
      </c>
      <c r="K31" s="47">
        <v>44.59954924622288</v>
      </c>
      <c r="L31" s="46">
        <v>34.30246981176872</v>
      </c>
      <c r="M31" s="46">
        <v>34.75225241862347</v>
      </c>
      <c r="N31" s="46">
        <v>37.93955688074266</v>
      </c>
      <c r="O31" s="46">
        <v>46.65394425185195</v>
      </c>
      <c r="P31" s="47">
        <v>34.322394326106746</v>
      </c>
    </row>
    <row r="32" spans="1:16" ht="15" hidden="1" outlineLevel="1">
      <c r="A32">
        <v>23</v>
      </c>
      <c r="B32" s="44">
        <v>4571.59588123876</v>
      </c>
      <c r="C32" s="45">
        <v>3179.9090080422275</v>
      </c>
      <c r="D32" s="45">
        <v>842.3204824801162</v>
      </c>
      <c r="E32" s="45">
        <v>578.9639152925462</v>
      </c>
      <c r="F32" s="45">
        <v>2795.5853646925534</v>
      </c>
      <c r="G32" s="88">
        <v>42.704500180997115</v>
      </c>
      <c r="H32" s="46">
        <v>51.44914002124876</v>
      </c>
      <c r="I32" s="46">
        <v>47.17488998715492</v>
      </c>
      <c r="J32" s="46">
        <v>52.57905375127847</v>
      </c>
      <c r="K32" s="47">
        <v>44.89681330914423</v>
      </c>
      <c r="L32" s="46">
        <v>35.03671623979935</v>
      </c>
      <c r="M32" s="46">
        <v>35.90429488326375</v>
      </c>
      <c r="N32" s="46">
        <v>39.12715140693744</v>
      </c>
      <c r="O32" s="46">
        <v>47.71129644938617</v>
      </c>
      <c r="P32" s="47">
        <v>34.79759547973866</v>
      </c>
    </row>
    <row r="33" spans="1:16" ht="15" hidden="1" outlineLevel="1">
      <c r="A33">
        <v>24</v>
      </c>
      <c r="B33" s="44">
        <v>4582.356903638187</v>
      </c>
      <c r="C33" s="45">
        <v>3198.822737217684</v>
      </c>
      <c r="D33" s="45">
        <v>851.6012159125414</v>
      </c>
      <c r="E33" s="45">
        <v>575.4918468482264</v>
      </c>
      <c r="F33" s="45">
        <v>2807.3062164222</v>
      </c>
      <c r="G33" s="88">
        <v>57.99215984503219</v>
      </c>
      <c r="H33" s="46">
        <v>54.99454071605268</v>
      </c>
      <c r="I33" s="46">
        <v>50.430380142026834</v>
      </c>
      <c r="J33" s="46">
        <v>50.327809465640755</v>
      </c>
      <c r="K33" s="47">
        <v>47.46357220453736</v>
      </c>
      <c r="L33" s="46">
        <v>36.06954084435096</v>
      </c>
      <c r="M33" s="46">
        <v>37.26259081613966</v>
      </c>
      <c r="N33" s="46">
        <v>38.91210097429751</v>
      </c>
      <c r="O33" s="46">
        <v>46.93092691997451</v>
      </c>
      <c r="P33" s="47">
        <v>35.57017863279218</v>
      </c>
    </row>
    <row r="34" spans="1:16" ht="15" hidden="1" outlineLevel="1">
      <c r="A34">
        <v>25</v>
      </c>
      <c r="B34" s="44">
        <v>4600.560770901135</v>
      </c>
      <c r="C34" s="45">
        <v>3209.3166279401607</v>
      </c>
      <c r="D34" s="45">
        <v>858.9934018972983</v>
      </c>
      <c r="E34" s="45">
        <v>571.7934370337747</v>
      </c>
      <c r="F34" s="45">
        <v>2818.8236858750033</v>
      </c>
      <c r="G34" s="88">
        <v>49.84399155038555</v>
      </c>
      <c r="H34" s="46">
        <v>64.71472801071418</v>
      </c>
      <c r="I34" s="46">
        <v>62.88910945558741</v>
      </c>
      <c r="J34" s="46">
        <v>55.934572379615695</v>
      </c>
      <c r="K34" s="47">
        <v>46.16909242463409</v>
      </c>
      <c r="L34" s="46">
        <v>37.692676342852714</v>
      </c>
      <c r="M34" s="46">
        <v>38.355032652227806</v>
      </c>
      <c r="N34" s="46">
        <v>41.100013139924876</v>
      </c>
      <c r="O34" s="46">
        <v>44.735566518741265</v>
      </c>
      <c r="P34" s="47">
        <v>36.82163615678196</v>
      </c>
    </row>
    <row r="35" spans="1:16" ht="15" hidden="1" outlineLevel="1">
      <c r="A35">
        <v>26</v>
      </c>
      <c r="B35" s="44">
        <v>4611.360718992617</v>
      </c>
      <c r="C35" s="45">
        <v>3219.370417983111</v>
      </c>
      <c r="D35" s="45">
        <v>868.4634710685266</v>
      </c>
      <c r="E35" s="45">
        <v>567.5000440686515</v>
      </c>
      <c r="F35" s="45">
        <v>2827.740138851226</v>
      </c>
      <c r="G35" s="88">
        <v>64.92080041401452</v>
      </c>
      <c r="H35" s="46">
        <v>73.96945329875203</v>
      </c>
      <c r="I35" s="46">
        <v>73.6044479500288</v>
      </c>
      <c r="J35" s="46">
        <v>42.81430834488376</v>
      </c>
      <c r="K35" s="47">
        <v>54.57340380094141</v>
      </c>
      <c r="L35" s="46">
        <v>38.604856040733075</v>
      </c>
      <c r="M35" s="46">
        <v>39.416707728320716</v>
      </c>
      <c r="N35" s="46">
        <v>42.31454211327763</v>
      </c>
      <c r="O35" s="46">
        <v>40.92744762676285</v>
      </c>
      <c r="P35" s="47">
        <v>37.18260318883777</v>
      </c>
    </row>
    <row r="36" spans="1:16" ht="15" hidden="1" outlineLevel="1">
      <c r="A36">
        <v>27</v>
      </c>
      <c r="B36" s="44">
        <v>4622.999434790138</v>
      </c>
      <c r="C36" s="45">
        <v>3226.596437431243</v>
      </c>
      <c r="D36" s="45">
        <v>875.8526455704796</v>
      </c>
      <c r="E36" s="45">
        <v>565.8468991892095</v>
      </c>
      <c r="F36" s="45">
        <v>2834.0480865999757</v>
      </c>
      <c r="G36" s="88">
        <v>76.30682037712734</v>
      </c>
      <c r="H36" s="46">
        <v>77.68256518273766</v>
      </c>
      <c r="I36" s="46">
        <v>87.94779419739416</v>
      </c>
      <c r="J36" s="46">
        <v>44.61820692042513</v>
      </c>
      <c r="K36" s="47">
        <v>61.32594828211484</v>
      </c>
      <c r="L36" s="46">
        <v>39.841758143018296</v>
      </c>
      <c r="M36" s="46">
        <v>40.426153934683626</v>
      </c>
      <c r="N36" s="46">
        <v>42.831820920854376</v>
      </c>
      <c r="O36" s="46">
        <v>41.861833756918955</v>
      </c>
      <c r="P36" s="47">
        <v>38.23256038991417</v>
      </c>
    </row>
    <row r="37" spans="1:16" ht="15" hidden="1" outlineLevel="1">
      <c r="A37">
        <v>28</v>
      </c>
      <c r="B37" s="44">
        <v>4626.403973394964</v>
      </c>
      <c r="C37" s="45">
        <v>3232.2417472921206</v>
      </c>
      <c r="D37" s="45">
        <v>885.9341372079487</v>
      </c>
      <c r="E37" s="45">
        <v>565.0520019540944</v>
      </c>
      <c r="F37" s="45">
        <v>2834.156026915072</v>
      </c>
      <c r="G37" s="88">
        <v>90.80067380668406</v>
      </c>
      <c r="H37" s="46">
        <v>91.16406442800988</v>
      </c>
      <c r="I37" s="46">
        <v>119.97031820288787</v>
      </c>
      <c r="J37" s="46">
        <v>43.112647957785256</v>
      </c>
      <c r="K37" s="47">
        <v>63.74967123354013</v>
      </c>
      <c r="L37" s="46">
        <v>39.90391402282148</v>
      </c>
      <c r="M37" s="46">
        <v>40.39562687200211</v>
      </c>
      <c r="N37" s="46">
        <v>43.74045043136255</v>
      </c>
      <c r="O37" s="46">
        <v>41.94694208166566</v>
      </c>
      <c r="P37" s="47">
        <v>38.30433598641449</v>
      </c>
    </row>
    <row r="38" spans="1:16" ht="15" hidden="1" outlineLevel="1">
      <c r="A38">
        <v>29</v>
      </c>
      <c r="B38" s="44">
        <v>4626.702078969585</v>
      </c>
      <c r="C38" s="45">
        <v>3234.870673441188</v>
      </c>
      <c r="D38" s="45">
        <v>885.8076028235162</v>
      </c>
      <c r="E38" s="45">
        <v>567.7806082539812</v>
      </c>
      <c r="F38" s="45">
        <v>2829.608658848216</v>
      </c>
      <c r="G38" s="88">
        <v>108.73578561096049</v>
      </c>
      <c r="H38" s="46">
        <v>108.13118861974927</v>
      </c>
      <c r="I38" s="46">
        <v>140.15270370416806</v>
      </c>
      <c r="J38" s="46">
        <v>44.08230823519928</v>
      </c>
      <c r="K38" s="47">
        <v>73.95298584773344</v>
      </c>
      <c r="L38" s="46">
        <v>39.83834163143529</v>
      </c>
      <c r="M38" s="46">
        <v>40.96886674830702</v>
      </c>
      <c r="N38" s="46">
        <v>43.51216949468156</v>
      </c>
      <c r="O38" s="46">
        <v>39.843246190033945</v>
      </c>
      <c r="P38" s="47">
        <v>38.50129655653235</v>
      </c>
    </row>
    <row r="39" spans="1:16" ht="15" hidden="1" outlineLevel="1">
      <c r="A39">
        <v>30</v>
      </c>
      <c r="B39" s="44">
        <v>4641.0398683261255</v>
      </c>
      <c r="C39" s="45">
        <v>3227.476934634798</v>
      </c>
      <c r="D39" s="45">
        <v>886.6058191487165</v>
      </c>
      <c r="E39" s="45">
        <v>568.4499935409618</v>
      </c>
      <c r="F39" s="45">
        <v>2833.0483228069734</v>
      </c>
      <c r="G39" s="88">
        <v>122.07541351299646</v>
      </c>
      <c r="H39" s="46">
        <v>105.13843241388389</v>
      </c>
      <c r="I39" s="46">
        <v>172.77165314226835</v>
      </c>
      <c r="J39" s="46">
        <v>42.32957204964493</v>
      </c>
      <c r="K39" s="47">
        <v>87.93416692412109</v>
      </c>
      <c r="L39" s="46">
        <v>39.90230837602736</v>
      </c>
      <c r="M39" s="46">
        <v>39.980192532082505</v>
      </c>
      <c r="N39" s="46">
        <v>43.54395534987264</v>
      </c>
      <c r="O39" s="46">
        <v>39.05484220424604</v>
      </c>
      <c r="P39" s="47">
        <v>38.63526649255214</v>
      </c>
    </row>
    <row r="40" spans="1:16" ht="15" hidden="1" outlineLevel="1">
      <c r="A40">
        <v>31</v>
      </c>
      <c r="B40" s="44">
        <v>4651.181550926349</v>
      </c>
      <c r="C40" s="45">
        <v>3221.5618774770874</v>
      </c>
      <c r="D40" s="45">
        <v>889.999967090796</v>
      </c>
      <c r="E40" s="45">
        <v>570.7251603273504</v>
      </c>
      <c r="F40" s="45">
        <v>2846.7408567551047</v>
      </c>
      <c r="G40" s="88">
        <v>115.58290938652728</v>
      </c>
      <c r="H40" s="46">
        <v>107.87411860923133</v>
      </c>
      <c r="I40" s="46">
        <v>192.85072327006026</v>
      </c>
      <c r="J40" s="46">
        <v>44.645108660657925</v>
      </c>
      <c r="K40" s="47">
        <v>94.14448345059313</v>
      </c>
      <c r="L40" s="46">
        <v>39.84085999710232</v>
      </c>
      <c r="M40" s="46">
        <v>40.38414705639108</v>
      </c>
      <c r="N40" s="46">
        <v>44.02390704760234</v>
      </c>
      <c r="O40" s="46">
        <v>40.39075661892592</v>
      </c>
      <c r="P40" s="47">
        <v>39.184070570306616</v>
      </c>
    </row>
    <row r="41" spans="1:16" ht="15" hidden="1" outlineLevel="1">
      <c r="A41">
        <v>32</v>
      </c>
      <c r="B41" s="44">
        <v>4653.2545260525785</v>
      </c>
      <c r="C41" s="45">
        <v>3223.127136744684</v>
      </c>
      <c r="D41" s="45">
        <v>893.8717855980726</v>
      </c>
      <c r="E41" s="45">
        <v>576.2180233893571</v>
      </c>
      <c r="F41" s="45">
        <v>2856.126116230489</v>
      </c>
      <c r="G41" s="88">
        <v>138.57150841355596</v>
      </c>
      <c r="H41" s="46">
        <v>103.36742766458542</v>
      </c>
      <c r="I41" s="46">
        <v>198.54558095847275</v>
      </c>
      <c r="J41" s="46">
        <v>45.742375865626215</v>
      </c>
      <c r="K41" s="47">
        <v>102.09050300804506</v>
      </c>
      <c r="L41" s="46">
        <v>40.03799993646608</v>
      </c>
      <c r="M41" s="46">
        <v>40.08825136641943</v>
      </c>
      <c r="N41" s="46">
        <v>44.051877625751985</v>
      </c>
      <c r="O41" s="46">
        <v>40.626582807111916</v>
      </c>
      <c r="P41" s="47">
        <v>39.362844119395795</v>
      </c>
    </row>
    <row r="42" spans="1:16" ht="15" hidden="1" outlineLevel="1">
      <c r="A42">
        <v>33</v>
      </c>
      <c r="B42" s="44">
        <v>4618.734924831175</v>
      </c>
      <c r="C42" s="45">
        <v>3221.585533534123</v>
      </c>
      <c r="D42" s="45">
        <v>896.3940998842892</v>
      </c>
      <c r="E42" s="45">
        <v>583.1719162906661</v>
      </c>
      <c r="F42" s="45">
        <v>2843.0271180400473</v>
      </c>
      <c r="G42" s="88">
        <v>92.47618610696448</v>
      </c>
      <c r="H42" s="46">
        <v>94.57454898922225</v>
      </c>
      <c r="I42" s="46">
        <v>172.65944334060976</v>
      </c>
      <c r="J42" s="46">
        <v>45.73594129678675</v>
      </c>
      <c r="K42" s="47">
        <v>85.62641007339752</v>
      </c>
      <c r="L42" s="46">
        <v>37.98198426643969</v>
      </c>
      <c r="M42" s="46">
        <v>38.14577743028353</v>
      </c>
      <c r="N42" s="46">
        <v>42.63554525243058</v>
      </c>
      <c r="O42" s="46">
        <v>40.890740790532185</v>
      </c>
      <c r="P42" s="47">
        <v>37.350898274413304</v>
      </c>
    </row>
    <row r="43" spans="1:16" ht="15" hidden="1" outlineLevel="1">
      <c r="A43">
        <v>34</v>
      </c>
      <c r="B43" s="44">
        <v>4580.810322528803</v>
      </c>
      <c r="C43" s="45">
        <v>3221.3227646958053</v>
      </c>
      <c r="D43" s="45">
        <v>891.6521652941171</v>
      </c>
      <c r="E43" s="45">
        <v>588.419101027712</v>
      </c>
      <c r="F43" s="45">
        <v>2820.7402551446057</v>
      </c>
      <c r="G43" s="88">
        <v>56.26495552520264</v>
      </c>
      <c r="H43" s="46">
        <v>60.34903375705897</v>
      </c>
      <c r="I43" s="46">
        <v>143.3761713720758</v>
      </c>
      <c r="J43" s="46">
        <v>46.5109967551309</v>
      </c>
      <c r="K43" s="47">
        <v>56.06858267599523</v>
      </c>
      <c r="L43" s="46">
        <v>36.223424506833524</v>
      </c>
      <c r="M43" s="46">
        <v>37.163233395331225</v>
      </c>
      <c r="N43" s="46">
        <v>40.9437274371687</v>
      </c>
      <c r="O43" s="46">
        <v>42.119317418657054</v>
      </c>
      <c r="P43" s="47">
        <v>35.66206593938995</v>
      </c>
    </row>
    <row r="44" spans="1:16" ht="15" hidden="1" outlineLevel="1">
      <c r="A44">
        <v>35</v>
      </c>
      <c r="B44" s="44">
        <v>4487.527831957926</v>
      </c>
      <c r="C44" s="45">
        <v>3190.734693979721</v>
      </c>
      <c r="D44" s="45">
        <v>882.9056739653184</v>
      </c>
      <c r="E44" s="45">
        <v>587.3923699887337</v>
      </c>
      <c r="F44" s="45">
        <v>2758.8365022865983</v>
      </c>
      <c r="G44" s="88">
        <v>35.84642552071071</v>
      </c>
      <c r="H44" s="46">
        <v>44.31355567065006</v>
      </c>
      <c r="I44" s="46">
        <v>108.84978547473963</v>
      </c>
      <c r="J44" s="46">
        <v>47.79195041610963</v>
      </c>
      <c r="K44" s="47">
        <v>45.5614449037775</v>
      </c>
      <c r="L44" s="46">
        <v>32.17521997693142</v>
      </c>
      <c r="M44" s="46">
        <v>33.14289495460419</v>
      </c>
      <c r="N44" s="46">
        <v>37.67813846828541</v>
      </c>
      <c r="O44" s="46">
        <v>40.78942746376351</v>
      </c>
      <c r="P44" s="47">
        <v>31.33165492898683</v>
      </c>
    </row>
    <row r="45" spans="1:16" ht="15" hidden="1" outlineLevel="1">
      <c r="A45">
        <v>36</v>
      </c>
      <c r="B45" s="44">
        <v>4424.603066522648</v>
      </c>
      <c r="C45" s="45">
        <v>3161.4725019368752</v>
      </c>
      <c r="D45" s="45">
        <v>866.5413737958786</v>
      </c>
      <c r="E45" s="45">
        <v>585.3640130359308</v>
      </c>
      <c r="F45" s="45">
        <v>2702.2551633170015</v>
      </c>
      <c r="G45" s="88">
        <v>33.16094370102394</v>
      </c>
      <c r="H45" s="46">
        <v>34.96513841291024</v>
      </c>
      <c r="I45" s="46">
        <v>67.5902612540762</v>
      </c>
      <c r="J45" s="46">
        <v>41.12376167728067</v>
      </c>
      <c r="K45" s="47">
        <v>37.86994919810846</v>
      </c>
      <c r="L45" s="46">
        <v>29.785830558454027</v>
      </c>
      <c r="M45" s="46">
        <v>30.54980085629326</v>
      </c>
      <c r="N45" s="46">
        <v>34.84185732992419</v>
      </c>
      <c r="O45" s="46">
        <v>40.33238769744644</v>
      </c>
      <c r="P45" s="47">
        <v>29.208773804895607</v>
      </c>
    </row>
    <row r="46" spans="1:16" ht="15" hidden="1" outlineLevel="1">
      <c r="A46">
        <v>37</v>
      </c>
      <c r="B46" s="44">
        <v>4348.30561030373</v>
      </c>
      <c r="C46" s="45">
        <v>3115.7532666300126</v>
      </c>
      <c r="D46" s="45">
        <v>849.9476150724411</v>
      </c>
      <c r="E46" s="45">
        <v>582.0044295689519</v>
      </c>
      <c r="F46" s="45">
        <v>2633.7474675893286</v>
      </c>
      <c r="G46" s="88">
        <v>29.840440257450457</v>
      </c>
      <c r="H46" s="46">
        <v>33.227889675173294</v>
      </c>
      <c r="I46" s="46">
        <v>47.36815398195593</v>
      </c>
      <c r="J46" s="46">
        <v>42.734128057033665</v>
      </c>
      <c r="K46" s="47">
        <v>33.9361720368975</v>
      </c>
      <c r="L46" s="46">
        <v>27.956862765682434</v>
      </c>
      <c r="M46" s="46">
        <v>28.835635999895278</v>
      </c>
      <c r="N46" s="46">
        <v>32.92787900376065</v>
      </c>
      <c r="O46" s="46">
        <v>40.406874198159635</v>
      </c>
      <c r="P46" s="47">
        <v>27.32973985657653</v>
      </c>
    </row>
    <row r="47" spans="1:16" ht="15" hidden="1" outlineLevel="1">
      <c r="A47">
        <v>38</v>
      </c>
      <c r="B47" s="44">
        <v>4309.077895907249</v>
      </c>
      <c r="C47" s="45">
        <v>3135.6507118588856</v>
      </c>
      <c r="D47" s="45">
        <v>830.8477454668121</v>
      </c>
      <c r="E47" s="45">
        <v>581.1378756723453</v>
      </c>
      <c r="F47" s="45">
        <v>2595.298397954282</v>
      </c>
      <c r="G47" s="88">
        <v>29.01122121521477</v>
      </c>
      <c r="H47" s="46">
        <v>45.275518832991224</v>
      </c>
      <c r="I47" s="46">
        <v>38.03032124168578</v>
      </c>
      <c r="J47" s="46">
        <v>49.30014774057792</v>
      </c>
      <c r="K47" s="47">
        <v>27.81381398378003</v>
      </c>
      <c r="L47" s="46">
        <v>28.14949729265972</v>
      </c>
      <c r="M47" s="46">
        <v>31.141618049224377</v>
      </c>
      <c r="N47" s="46">
        <v>32.44411494562876</v>
      </c>
      <c r="O47" s="46">
        <v>40.68947907371108</v>
      </c>
      <c r="P47" s="47">
        <v>27.101367426538722</v>
      </c>
    </row>
    <row r="48" spans="1:16" ht="15" hidden="1" outlineLevel="1">
      <c r="A48">
        <v>39</v>
      </c>
      <c r="B48" s="44">
        <v>4301.814754874909</v>
      </c>
      <c r="C48" s="45">
        <v>3136.7617471433878</v>
      </c>
      <c r="D48" s="45">
        <v>815.7753281981245</v>
      </c>
      <c r="E48" s="45">
        <v>581.737180674726</v>
      </c>
      <c r="F48" s="45">
        <v>2564.6423626996257</v>
      </c>
      <c r="G48" s="88">
        <v>29.842503694638214</v>
      </c>
      <c r="H48" s="46">
        <v>38.06754986265228</v>
      </c>
      <c r="I48" s="46">
        <v>35.61461045539269</v>
      </c>
      <c r="J48" s="46">
        <v>43.427871896193</v>
      </c>
      <c r="K48" s="47">
        <v>28.204200080699376</v>
      </c>
      <c r="L48" s="46">
        <v>28.93867793960495</v>
      </c>
      <c r="M48" s="46">
        <v>31.72365829856333</v>
      </c>
      <c r="N48" s="46">
        <v>32.180181192833636</v>
      </c>
      <c r="O48" s="46">
        <v>41.35549095322486</v>
      </c>
      <c r="P48" s="47">
        <v>27.54815968745915</v>
      </c>
    </row>
    <row r="49" spans="1:16" ht="15" hidden="1" outlineLevel="1">
      <c r="A49">
        <v>40</v>
      </c>
      <c r="B49" s="44">
        <v>4264.437964504857</v>
      </c>
      <c r="C49" s="45">
        <v>3098.8640422454837</v>
      </c>
      <c r="D49" s="45">
        <v>805.0393479928911</v>
      </c>
      <c r="E49" s="45">
        <v>582.3926426462108</v>
      </c>
      <c r="F49" s="45">
        <v>2556.997980222036</v>
      </c>
      <c r="G49" s="88">
        <v>29.376305093576843</v>
      </c>
      <c r="H49" s="46">
        <v>36.12661944339638</v>
      </c>
      <c r="I49" s="46">
        <v>35.80373610508149</v>
      </c>
      <c r="J49" s="46">
        <v>44.395254444412046</v>
      </c>
      <c r="K49" s="47">
        <v>28.3480462668067</v>
      </c>
      <c r="L49" s="46">
        <v>28.487491490743242</v>
      </c>
      <c r="M49" s="46">
        <v>30.066315005321528</v>
      </c>
      <c r="N49" s="46">
        <v>32.06776049061639</v>
      </c>
      <c r="O49" s="46">
        <v>43.234119837239916</v>
      </c>
      <c r="P49" s="47">
        <v>27.63276708751172</v>
      </c>
    </row>
    <row r="50" spans="1:16" ht="15" hidden="1" outlineLevel="1">
      <c r="A50">
        <v>41</v>
      </c>
      <c r="B50" s="44">
        <v>4156.719669256634</v>
      </c>
      <c r="C50" s="45">
        <v>3053.364479221546</v>
      </c>
      <c r="D50" s="45">
        <v>801.3909439966969</v>
      </c>
      <c r="E50" s="45">
        <v>581.7430512161412</v>
      </c>
      <c r="F50" s="45">
        <v>2528.2979203951168</v>
      </c>
      <c r="G50" s="88">
        <v>26.705325140747938</v>
      </c>
      <c r="H50" s="46">
        <v>29.576907314975973</v>
      </c>
      <c r="I50" s="46">
        <v>33.76023283238031</v>
      </c>
      <c r="J50" s="46">
        <v>43.29078783022151</v>
      </c>
      <c r="K50" s="47">
        <v>27.103147691567443</v>
      </c>
      <c r="L50" s="46">
        <v>26.42069225008833</v>
      </c>
      <c r="M50" s="46">
        <v>26.68840535951432</v>
      </c>
      <c r="N50" s="46">
        <v>31.123449599767433</v>
      </c>
      <c r="O50" s="46">
        <v>42.71989995906936</v>
      </c>
      <c r="P50" s="47">
        <v>26.407490674720712</v>
      </c>
    </row>
    <row r="51" spans="1:16" ht="15" hidden="1" outlineLevel="1">
      <c r="A51">
        <v>42</v>
      </c>
      <c r="B51" s="44">
        <v>4030.085801303674</v>
      </c>
      <c r="C51" s="45">
        <v>2987.2672869395433</v>
      </c>
      <c r="D51" s="45">
        <v>793.8946183064692</v>
      </c>
      <c r="E51" s="45">
        <v>573.0988269448385</v>
      </c>
      <c r="F51" s="45">
        <v>2463.0409092626687</v>
      </c>
      <c r="G51" s="88">
        <v>23.922132190439115</v>
      </c>
      <c r="H51" s="46">
        <v>24.77813886077322</v>
      </c>
      <c r="I51" s="46">
        <v>36.02708526834634</v>
      </c>
      <c r="J51" s="46">
        <v>40.5208060610993</v>
      </c>
      <c r="K51" s="47">
        <v>24.348626921219093</v>
      </c>
      <c r="L51" s="46">
        <v>23.86529483311748</v>
      </c>
      <c r="M51" s="46">
        <v>24.255796351549805</v>
      </c>
      <c r="N51" s="46">
        <v>28.92509375133855</v>
      </c>
      <c r="O51" s="46">
        <v>40.11680721653283</v>
      </c>
      <c r="P51" s="47">
        <v>23.7545110147119</v>
      </c>
    </row>
    <row r="52" spans="1:16" ht="15" hidden="1" outlineLevel="1">
      <c r="A52">
        <v>43</v>
      </c>
      <c r="B52" s="44">
        <v>3998.4415499180177</v>
      </c>
      <c r="C52" s="45">
        <v>2935.7573766047763</v>
      </c>
      <c r="D52" s="45">
        <v>773.6069483656481</v>
      </c>
      <c r="E52" s="45">
        <v>561.5518936470178</v>
      </c>
      <c r="F52" s="45">
        <v>2366.652786474411</v>
      </c>
      <c r="G52" s="88">
        <v>24.76725571255476</v>
      </c>
      <c r="H52" s="46">
        <v>26.01869312970295</v>
      </c>
      <c r="I52" s="46">
        <v>33.866360546674436</v>
      </c>
      <c r="J52" s="46">
        <v>40.937916205543694</v>
      </c>
      <c r="K52" s="47">
        <v>24.28212790189457</v>
      </c>
      <c r="L52" s="46">
        <v>24.56020070919023</v>
      </c>
      <c r="M52" s="46">
        <v>24.29895786729306</v>
      </c>
      <c r="N52" s="46">
        <v>28.481133674585447</v>
      </c>
      <c r="O52" s="46">
        <v>40.458457434685926</v>
      </c>
      <c r="P52" s="47">
        <v>23.68980075568477</v>
      </c>
    </row>
    <row r="53" spans="1:16" ht="15" hidden="1" outlineLevel="1">
      <c r="A53">
        <v>44</v>
      </c>
      <c r="B53" s="44">
        <v>3907.0696782155956</v>
      </c>
      <c r="C53" s="45">
        <v>2829.6273254774483</v>
      </c>
      <c r="D53" s="45">
        <v>747.6152768246295</v>
      </c>
      <c r="E53" s="45">
        <v>547.6306673886264</v>
      </c>
      <c r="F53" s="45">
        <v>2262.96743960694</v>
      </c>
      <c r="G53" s="88">
        <v>21.73732418374642</v>
      </c>
      <c r="H53" s="46">
        <v>21.659513589364607</v>
      </c>
      <c r="I53" s="46">
        <v>26.4344801547753</v>
      </c>
      <c r="J53" s="46">
        <v>38.94081114690453</v>
      </c>
      <c r="K53" s="47">
        <v>20.79889693399037</v>
      </c>
      <c r="L53" s="46">
        <v>21.754844115572592</v>
      </c>
      <c r="M53" s="46">
        <v>21.502712037385354</v>
      </c>
      <c r="N53" s="46">
        <v>24.864193038074518</v>
      </c>
      <c r="O53" s="46">
        <v>38.95814116789632</v>
      </c>
      <c r="P53" s="47">
        <v>20.409021760610493</v>
      </c>
    </row>
    <row r="54" spans="1:16" ht="15" hidden="1" outlineLevel="1">
      <c r="A54">
        <v>45</v>
      </c>
      <c r="B54" s="44">
        <v>3871.1504698929393</v>
      </c>
      <c r="C54" s="45">
        <v>2739.6244491474986</v>
      </c>
      <c r="D54" s="45">
        <v>718.730217130126</v>
      </c>
      <c r="E54" s="45">
        <v>532.6983233288265</v>
      </c>
      <c r="F54" s="45">
        <v>2189.1323312142545</v>
      </c>
      <c r="G54" s="88">
        <v>25.004577500012886</v>
      </c>
      <c r="H54" s="46">
        <v>26.058790176017148</v>
      </c>
      <c r="I54" s="46">
        <v>29.56698668690423</v>
      </c>
      <c r="J54" s="46">
        <v>38.73858380430704</v>
      </c>
      <c r="K54" s="47">
        <v>22.537320926585085</v>
      </c>
      <c r="L54" s="46">
        <v>24.634643865164005</v>
      </c>
      <c r="M54" s="46">
        <v>24.82614721162953</v>
      </c>
      <c r="N54" s="46">
        <v>25.960029397701376</v>
      </c>
      <c r="O54" s="46">
        <v>39.03772015704734</v>
      </c>
      <c r="P54" s="47">
        <v>22.012878861795464</v>
      </c>
    </row>
    <row r="55" spans="1:16" ht="15" hidden="1" outlineLevel="1">
      <c r="A55">
        <v>46</v>
      </c>
      <c r="B55" s="44">
        <v>3784.1727796726327</v>
      </c>
      <c r="C55" s="45">
        <v>2670.863914662073</v>
      </c>
      <c r="D55" s="45">
        <v>703.4664139422885</v>
      </c>
      <c r="E55" s="45">
        <v>520.1046518829489</v>
      </c>
      <c r="F55" s="45">
        <v>2135.063379643012</v>
      </c>
      <c r="G55" s="88">
        <v>23.108566826347698</v>
      </c>
      <c r="H55" s="46">
        <v>24.212773390853016</v>
      </c>
      <c r="I55" s="46">
        <v>27.31342093311885</v>
      </c>
      <c r="J55" s="46">
        <v>38.700431593387414</v>
      </c>
      <c r="K55" s="47">
        <v>20.694384245225002</v>
      </c>
      <c r="L55" s="46">
        <v>22.974755496447536</v>
      </c>
      <c r="M55" s="46">
        <v>22.925557732881465</v>
      </c>
      <c r="N55" s="46">
        <v>24.551016236461624</v>
      </c>
      <c r="O55" s="46">
        <v>38.56776721286248</v>
      </c>
      <c r="P55" s="47">
        <v>20.538363841539553</v>
      </c>
    </row>
    <row r="56" spans="1:16" ht="15" collapsed="1">
      <c r="A56">
        <v>47</v>
      </c>
      <c r="B56" s="44">
        <v>3675.478747536977</v>
      </c>
      <c r="C56" s="45">
        <v>2609.7881696790464</v>
      </c>
      <c r="D56" s="45">
        <v>686.2256520098556</v>
      </c>
      <c r="E56" s="45">
        <v>510.854257755698</v>
      </c>
      <c r="F56" s="45">
        <v>2221.3139674285503</v>
      </c>
      <c r="G56" s="88">
        <v>25.377368651252837</v>
      </c>
      <c r="H56" s="46">
        <v>25.408808375482742</v>
      </c>
      <c r="I56" s="46">
        <v>27.828790064187682</v>
      </c>
      <c r="J56" s="46">
        <v>39.10086120890061</v>
      </c>
      <c r="K56" s="47">
        <v>24.919949054484718</v>
      </c>
      <c r="L56" s="46">
        <v>25.130665214907832</v>
      </c>
      <c r="M56" s="46">
        <v>24.694873242217916</v>
      </c>
      <c r="N56" s="46">
        <v>27.52052802860204</v>
      </c>
      <c r="O56" s="46">
        <v>39.03505798823504</v>
      </c>
      <c r="P56" s="47">
        <v>24.57239987465925</v>
      </c>
    </row>
    <row r="57" spans="1:16" ht="15">
      <c r="A57">
        <v>48</v>
      </c>
      <c r="B57" s="48">
        <v>3590.303345110055</v>
      </c>
      <c r="C57" s="49">
        <v>2527.581670615286</v>
      </c>
      <c r="D57" s="49">
        <v>764.125324210933</v>
      </c>
      <c r="E57" s="49">
        <v>504.3409256138303</v>
      </c>
      <c r="F57" s="49">
        <v>2159.9631949366776</v>
      </c>
      <c r="G57" s="89">
        <v>22.79929603897783</v>
      </c>
      <c r="H57" s="50">
        <v>21.60078654772085</v>
      </c>
      <c r="I57" s="50">
        <v>30.687529097069696</v>
      </c>
      <c r="J57" s="50">
        <v>39.126069460550546</v>
      </c>
      <c r="K57" s="51">
        <v>22.829333665284672</v>
      </c>
      <c r="L57" s="50">
        <v>22.7925987907047</v>
      </c>
      <c r="M57" s="50">
        <v>21.581309762855327</v>
      </c>
      <c r="N57" s="50">
        <v>28.088600820725436</v>
      </c>
      <c r="O57" s="50">
        <v>39.07059569012705</v>
      </c>
      <c r="P57" s="51">
        <v>22.455190031020088</v>
      </c>
    </row>
    <row r="58" spans="1:16" ht="15.75" customHeight="1">
      <c r="A58" s="16" t="s">
        <v>75</v>
      </c>
      <c r="B58" s="6"/>
      <c r="C58" s="6"/>
      <c r="D58" s="6"/>
      <c r="E58" s="6"/>
      <c r="F58" s="6"/>
      <c r="G58" s="70">
        <f>SUMPRODUCT(G10:G57,B10:B57)/SUM(B10:B57)</f>
        <v>42.74386157794786</v>
      </c>
      <c r="H58" s="71">
        <f>SUMPRODUCT(H10:H57,C10:C57)/SUM(C10:C57)</f>
        <v>43.62360204588576</v>
      </c>
      <c r="I58" s="71">
        <f>SUMPRODUCT(I10:I57,D10:D57)/SUM(D10:D57)</f>
        <v>59.916615600787566</v>
      </c>
      <c r="J58" s="71">
        <f>SUMPRODUCT(J10:J57,E10:E57)/SUM(E10:E57)</f>
        <v>42.94190223885353</v>
      </c>
      <c r="K58" s="72">
        <f>SUMPRODUCT(K10:K57,F10:F57)/SUM(F10:F57)</f>
        <v>38.53580983731966</v>
      </c>
      <c r="L58" s="71">
        <f>SUMPRODUCT(L10:L57,B10:B57)/SUM(B10:B57)</f>
        <v>28.787102858190412</v>
      </c>
      <c r="M58" s="71">
        <f>SUMPRODUCT(M10:M57,C10:C57)/SUM(C10:C57)</f>
        <v>28.879441711344914</v>
      </c>
      <c r="N58" s="71">
        <f>SUMPRODUCT(N10:N57,D10:D57)/SUM(D10:D57)</f>
        <v>31.86699854270428</v>
      </c>
      <c r="O58" s="71">
        <f>SUMPRODUCT(O10:O57,E10:E57)/SUM(E10:E57)</f>
        <v>40.086225392038514</v>
      </c>
      <c r="P58" s="72">
        <f>SUMPRODUCT(P10:P57,F10:F57)/SUM(F10:F57)</f>
        <v>27.92411647496997</v>
      </c>
    </row>
    <row r="60" spans="3:7" ht="15">
      <c r="C60" t="s">
        <v>0</v>
      </c>
      <c r="D60" t="s">
        <v>1</v>
      </c>
      <c r="E60" t="s">
        <v>2</v>
      </c>
      <c r="F60" t="s">
        <v>3</v>
      </c>
      <c r="G60" t="s">
        <v>4</v>
      </c>
    </row>
    <row r="61" spans="1:16" s="37" customFormat="1" ht="15.75" customHeight="1">
      <c r="A61" s="35" t="s">
        <v>17</v>
      </c>
      <c r="B61" s="36" t="s">
        <v>72</v>
      </c>
      <c r="C61" s="90">
        <v>1.7</v>
      </c>
      <c r="D61" s="91">
        <v>1.8</v>
      </c>
      <c r="E61" s="91">
        <v>2</v>
      </c>
      <c r="F61" s="91">
        <v>1.1</v>
      </c>
      <c r="G61" s="92">
        <v>1.7</v>
      </c>
      <c r="H61" s="97" t="s">
        <v>81</v>
      </c>
      <c r="I61" s="98"/>
      <c r="J61" s="98"/>
      <c r="K61" s="98"/>
      <c r="L61" s="98"/>
      <c r="M61" s="98"/>
      <c r="N61" s="98"/>
      <c r="O61" s="98"/>
      <c r="P61" s="98"/>
    </row>
    <row r="62" spans="1:16" s="37" customFormat="1" ht="15.75" customHeight="1">
      <c r="A62" s="35" t="s">
        <v>18</v>
      </c>
      <c r="B62" s="36" t="s">
        <v>73</v>
      </c>
      <c r="C62" s="93">
        <v>2.3</v>
      </c>
      <c r="D62" s="94">
        <v>4.1</v>
      </c>
      <c r="E62" s="94">
        <v>5.1</v>
      </c>
      <c r="F62" s="94">
        <v>1.1</v>
      </c>
      <c r="G62" s="95">
        <v>3.7</v>
      </c>
      <c r="H62" s="97"/>
      <c r="I62" s="98"/>
      <c r="J62" s="98"/>
      <c r="K62" s="98"/>
      <c r="L62" s="98"/>
      <c r="M62" s="98"/>
      <c r="N62" s="98"/>
      <c r="O62" s="98"/>
      <c r="P62" s="98"/>
    </row>
    <row r="63" spans="1:8" s="34" customFormat="1" ht="15.75" customHeight="1">
      <c r="A63" s="12" t="s">
        <v>20</v>
      </c>
      <c r="C63" s="34">
        <v>100</v>
      </c>
      <c r="D63" s="34">
        <v>100</v>
      </c>
      <c r="E63" s="34">
        <v>100</v>
      </c>
      <c r="F63" s="34">
        <v>100</v>
      </c>
      <c r="G63" s="34">
        <v>100</v>
      </c>
      <c r="H63" s="34" t="s">
        <v>87</v>
      </c>
    </row>
  </sheetData>
  <sheetProtection/>
  <mergeCells count="3">
    <mergeCell ref="H61:P62"/>
    <mergeCell ref="B2:C2"/>
    <mergeCell ref="L2:M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80" zoomScaleNormal="80" zoomScalePageLayoutView="0" workbookViewId="0" topLeftCell="A8">
      <selection activeCell="L32" sqref="L32"/>
    </sheetView>
  </sheetViews>
  <sheetFormatPr defaultColWidth="9.140625" defaultRowHeight="15"/>
  <cols>
    <col min="1" max="1" width="17.140625" style="0" customWidth="1"/>
    <col min="2" max="2" width="16.00390625" style="0" customWidth="1"/>
    <col min="3" max="3" width="12.7109375" style="0" customWidth="1"/>
    <col min="4" max="4" width="13.57421875" style="0" customWidth="1"/>
    <col min="5" max="5" width="10.28125" style="0" customWidth="1"/>
    <col min="6" max="7" width="11.00390625" style="0" customWidth="1"/>
    <col min="8" max="8" width="12.8515625" style="0" customWidth="1"/>
  </cols>
  <sheetData>
    <row r="1" ht="18.75">
      <c r="A1" s="66" t="s">
        <v>33</v>
      </c>
    </row>
    <row r="2" spans="3:8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38</v>
      </c>
    </row>
    <row r="3" spans="2:14" ht="15.75">
      <c r="B3" s="4" t="s">
        <v>24</v>
      </c>
      <c r="C3" s="55">
        <f>NSW_EL*NSW_P*NSW_PRAFL*NSW_VFOSL*(GST+1)</f>
        <v>166049.01501968093</v>
      </c>
      <c r="D3" s="56">
        <f>QLD_EL*QLD_P*QLD_PRAFL*QLD_VFOSL*(GST+1)</f>
        <v>1522763.0225280002</v>
      </c>
      <c r="E3" s="56">
        <f>SA_EL*SA_P*SA_PRAFL*SA_VFOSL*(GST+1)</f>
        <v>0</v>
      </c>
      <c r="F3" s="56">
        <f>TAS_EL*TAS_P*TAS_PRAFL*TAS_VFOSL*(GST+1)</f>
        <v>0</v>
      </c>
      <c r="G3" s="57">
        <f>VIC_EL*VIC_P*VIC_PRAFL*VIC_VFOSL*(GST+1)</f>
        <v>0</v>
      </c>
      <c r="K3" s="8"/>
      <c r="L3" s="8"/>
      <c r="M3" s="8"/>
      <c r="N3" s="8"/>
    </row>
    <row r="4" spans="2:7" ht="15.75">
      <c r="B4" s="4" t="s">
        <v>25</v>
      </c>
      <c r="C4" s="61">
        <f>NSW_EG*NSW_P*NSW_PRAFG*NSW_VFOSL*(GST+1)</f>
        <v>0</v>
      </c>
      <c r="D4" s="62">
        <f>QLD_EG*QLD_P*QLD_PRAFG*QLD_VFOSL*(GST+1)</f>
        <v>0</v>
      </c>
      <c r="E4" s="62">
        <f>SA_EG*SA_P*SA_PRAFG*SA_VFOSL*(GST+1)</f>
        <v>0</v>
      </c>
      <c r="F4" s="62">
        <f>TAS_EG*TAS_P*TAS_PRAFG*TAS_VFOSL*(GST+1)</f>
        <v>0</v>
      </c>
      <c r="G4" s="63">
        <f>VIC_EG*VIC_P*VIC_PRAFG*VIC_VFOSL*(GST+1)</f>
        <v>0</v>
      </c>
    </row>
    <row r="5" spans="1:7" ht="15">
      <c r="A5" s="1" t="s">
        <v>26</v>
      </c>
      <c r="C5" s="6"/>
      <c r="D5" s="6"/>
      <c r="E5" s="6"/>
      <c r="F5" s="6"/>
      <c r="G5" s="6"/>
    </row>
    <row r="6" spans="1:7" ht="15">
      <c r="A6" t="s">
        <v>27</v>
      </c>
      <c r="C6" s="6">
        <f>NSW_RD*NSW_P*NSW_PRAFR*NSW_VFOSL</f>
        <v>0</v>
      </c>
      <c r="D6" s="6">
        <f>QLD_RD*QLD_P*QLD_PRAFR*QLD_VFOSL</f>
        <v>0</v>
      </c>
      <c r="E6" s="6">
        <f>SA_RD*SA_P*SA_PRAFR*SA_VFOSL</f>
        <v>0</v>
      </c>
      <c r="F6" s="6">
        <f>TAS_RD*TAS_P*TAS_PRAFR*TAS_VFOSL</f>
        <v>0</v>
      </c>
      <c r="G6" s="6">
        <f>VIC_RD*VIC_P*VIC_PRAFR*VIC_VFOSL</f>
        <v>0</v>
      </c>
    </row>
    <row r="7" spans="1:7" ht="15">
      <c r="A7" t="s">
        <v>28</v>
      </c>
      <c r="C7" s="6">
        <f>NSW_RDS*(NSW_P*NSW_PRAFR*NSW_VFOSL-NSW_PDS)</f>
        <v>0</v>
      </c>
      <c r="D7" s="6">
        <f>QLD_RDS*(QLD_P*QLD_PRAFR*QLD_VFOSL-QLD_PDS)</f>
        <v>0</v>
      </c>
      <c r="E7" s="6">
        <f>SA_RDS*(SA_P*SA_PRAFR*SA_VFOSL-SA_PDS)</f>
        <v>0</v>
      </c>
      <c r="F7" s="6">
        <f>TAS_RDS*(TAS_P*TAS_PRAFR*TAS_VFOSL-TAS_PDS)</f>
        <v>0</v>
      </c>
      <c r="G7" s="6">
        <f>VIC_RDS*(VIC_P*VIC_PRAFR*VIC_VFOSL-VIC_PDS)</f>
        <v>0</v>
      </c>
    </row>
    <row r="8" spans="1:7" ht="15">
      <c r="A8" t="s">
        <v>29</v>
      </c>
      <c r="C8" s="6">
        <f>NSW_RDC*(NSW_P*NSW_PRAFR*NSW_VFOSL-NSW_P*NSW_PRAFRC*NSW_VFOSL)</f>
        <v>0</v>
      </c>
      <c r="D8" s="6">
        <f>QLD_RDC*(QLD_P*QLD_PRAFR*QLD_VFOSL-QLD_P*QLD_PRAFRC*QLD_VFOSL)</f>
        <v>0</v>
      </c>
      <c r="E8" s="6">
        <f>SA_RDC*(SA_P*SA_PRAFR*SA_VFOSL-SA_P*SA_PRAFRC*SA_VFOSL)</f>
        <v>0</v>
      </c>
      <c r="F8" s="6">
        <f>TAS_RDC*(TAS_P*TAS_PRAFR*TAS_VFOSL-TAS_P*TAS_PRAFRC*TAS_VFOSL)</f>
        <v>0</v>
      </c>
      <c r="G8" s="6">
        <f>VIC_RDC*(VIC_P*VIC_PRAFR*VIC_VFOSL-VIC_P*VIC_PRAFRC*VIC_VFOSL)</f>
        <v>0</v>
      </c>
    </row>
    <row r="9" spans="2:7" ht="15.75">
      <c r="B9" s="4" t="s">
        <v>30</v>
      </c>
      <c r="C9" s="52">
        <f>SUM(C6:C8)</f>
        <v>0</v>
      </c>
      <c r="D9" s="53">
        <f>SUM(D6:D8)</f>
        <v>0</v>
      </c>
      <c r="E9" s="53">
        <f>SUM(E6:E8)</f>
        <v>0</v>
      </c>
      <c r="F9" s="53">
        <f>SUM(F6:F8)</f>
        <v>0</v>
      </c>
      <c r="G9" s="54">
        <f>SUM(G6:G8)</f>
        <v>0</v>
      </c>
    </row>
    <row r="10" spans="1:7" ht="15">
      <c r="A10" s="1" t="s">
        <v>31</v>
      </c>
      <c r="C10" s="6"/>
      <c r="D10" s="6"/>
      <c r="E10" s="6"/>
      <c r="F10" s="6"/>
      <c r="G10" s="6"/>
    </row>
    <row r="11" spans="1:7" ht="15">
      <c r="A11" t="s">
        <v>27</v>
      </c>
      <c r="C11" s="6">
        <f>NSW_RC*NSW_P*NSW_PRAFR*NSW_VFOSL</f>
        <v>0</v>
      </c>
      <c r="D11" s="6">
        <f>QLD_RC*QLD_P*QLD_PRAFR*QLD_VFOSL</f>
        <v>0</v>
      </c>
      <c r="E11" s="6">
        <f>SA_RC*SA_P*SA_PRAFR*SA_VFOSL</f>
        <v>0</v>
      </c>
      <c r="F11" s="6">
        <f>TAS_RC*TAS_P*TAS_PRAFR*TAS_VFOSL</f>
        <v>0</v>
      </c>
      <c r="G11" s="6">
        <f>VIC_RC*VIC_P*VIC_PRAFR*VIC_VFOSL</f>
        <v>0</v>
      </c>
    </row>
    <row r="12" spans="1:7" ht="15">
      <c r="A12" t="s">
        <v>28</v>
      </c>
      <c r="C12" s="6">
        <f>NSW_RCS*(NSW_P*NSW_PRAFR*NSW_VFOSL-NSW_PCS)</f>
        <v>0</v>
      </c>
      <c r="D12" s="6">
        <f>QLD_RCS*(QLD_P*QLD_PRAFR*QLD_VFOSL-QLD_PCS)</f>
        <v>0</v>
      </c>
      <c r="E12" s="6">
        <f>SA_RCS*(SA_P*SA_PRAFR*SA_VFOSL-SA_PCS)</f>
        <v>0</v>
      </c>
      <c r="F12" s="6">
        <f>TAS_RCS*(TAS_P*TAS_PRAFR*TAS_VFOSL-TAS_PCS)</f>
        <v>0</v>
      </c>
      <c r="G12" s="6">
        <f>VIC_RCS*(VIC_P*VIC_PRAFR*VIC_VFOSL-VIC_PCS)</f>
        <v>0</v>
      </c>
    </row>
    <row r="13" spans="1:7" ht="15">
      <c r="A13" t="s">
        <v>29</v>
      </c>
      <c r="C13" s="6">
        <f>NSW_RCC*(NSW_P*NSW_PRAFR*NSW_VFOSL-NSW_P*NSW_PRAFRC*NSW_VFOSL)</f>
        <v>0</v>
      </c>
      <c r="D13" s="6">
        <f>QLD_RCC*(QLD_P*QLD_PRAFR*QLD_VFOSL-QLD_P*QLD_PRAFRC*QLD_VFOSL)</f>
        <v>0</v>
      </c>
      <c r="E13" s="6">
        <f>SA_RCC*(SA_P*SA_PRAFR*SA_VFOSL-SA_P*SA_PRAFRC*SA_VFOSL)</f>
        <v>0</v>
      </c>
      <c r="F13" s="6">
        <f>TAS_RCC*(TAS_P*TAS_PRAFR*TAS_VFOSL-TAS_P*TAS_PRAFRC*TAS_VFOSL)</f>
        <v>0</v>
      </c>
      <c r="G13" s="6">
        <f>VIC_RCC*(VIC_P*VIC_PRAFR*VIC_VFOSL-VIC_P*VIC_PRAFRC*VIC_VFOSL)</f>
        <v>0</v>
      </c>
    </row>
    <row r="14" spans="2:7" ht="15.75">
      <c r="B14" s="4" t="s">
        <v>32</v>
      </c>
      <c r="C14" s="52">
        <f>SUM(C11:C13)</f>
        <v>0</v>
      </c>
      <c r="D14" s="53">
        <f>SUM(D11:D13)</f>
        <v>0</v>
      </c>
      <c r="E14" s="53">
        <f>SUM(E11:E13)</f>
        <v>0</v>
      </c>
      <c r="F14" s="53">
        <f>SUM(F11:F13)</f>
        <v>0</v>
      </c>
      <c r="G14" s="54">
        <f>SUM(G11:G13)</f>
        <v>0</v>
      </c>
    </row>
    <row r="16" spans="1:7" ht="15.75">
      <c r="A16" s="100" t="s">
        <v>78</v>
      </c>
      <c r="B16" s="7" t="s">
        <v>40</v>
      </c>
      <c r="C16" s="55">
        <f>NSW_RDD</f>
        <v>0</v>
      </c>
      <c r="D16" s="56">
        <f>QLD_RDD</f>
        <v>0</v>
      </c>
      <c r="E16" s="56">
        <f>SA_RDD</f>
        <v>0</v>
      </c>
      <c r="F16" s="56">
        <f>TAS_RDD</f>
        <v>0</v>
      </c>
      <c r="G16" s="57">
        <f>VIC_RDD</f>
        <v>0</v>
      </c>
    </row>
    <row r="17" spans="1:7" ht="15.75">
      <c r="A17" s="100"/>
      <c r="B17" s="7" t="s">
        <v>39</v>
      </c>
      <c r="C17" s="61">
        <f>NSW_RCD</f>
        <v>0</v>
      </c>
      <c r="D17" s="62">
        <f>QLD_RCD</f>
        <v>0</v>
      </c>
      <c r="E17" s="62">
        <f>SA_RCD</f>
        <v>0</v>
      </c>
      <c r="F17" s="62">
        <f>TAS_RCD</f>
        <v>0</v>
      </c>
      <c r="G17" s="63">
        <f>VIC_RCD</f>
        <v>0</v>
      </c>
    </row>
    <row r="19" spans="2:7" ht="20.25">
      <c r="B19" s="66" t="s">
        <v>76</v>
      </c>
      <c r="C19" s="55">
        <f>(C3-C4+C9-C14+C16-C17)*(TOSL)</f>
        <v>5811715.525688833</v>
      </c>
      <c r="D19" s="56">
        <f>(D3-D4+D9-D14+D16-D17)*(TOSL)</f>
        <v>53296705.788480006</v>
      </c>
      <c r="E19" s="56">
        <f>(E3-E4+E9-E14+E16-E17)*(TOSL)</f>
        <v>0</v>
      </c>
      <c r="F19" s="56">
        <f>(F3-F4+F9-F14+F16-F17)*(TOSL)</f>
        <v>0</v>
      </c>
      <c r="G19" s="57">
        <f>(G3-G4+G9-G14+G16-G17)*(TOSL)</f>
        <v>0</v>
      </c>
    </row>
    <row r="20" spans="2:7" ht="20.25">
      <c r="B20" s="66" t="s">
        <v>77</v>
      </c>
      <c r="C20" s="58">
        <f>(C19-(C16-C17)*(TOSL))/NSW_VFOSL+(C16-C17)*(TOSL)</f>
        <v>3418656.1915816665</v>
      </c>
      <c r="D20" s="59">
        <f>(D19-(D16-D17)*(TOSL))/QLD_VFOSL+(D16-D17)*(TOSL)</f>
        <v>29609280.993600003</v>
      </c>
      <c r="E20" s="59">
        <f>(E19-(E16-E17)*(TOSL))/SA_VFOSL+(E16-E17)*(TOSL)</f>
        <v>0</v>
      </c>
      <c r="F20" s="59">
        <f>(F19-(F16-F17)*(TOSL))/TAS_VFOSL+(F16-F17)*(TOSL)</f>
        <v>0</v>
      </c>
      <c r="G20" s="60">
        <f>(G19-(G16-G17)*(TOSL))/VIC_VFOSL+(G16-G17)*(TOSL)</f>
        <v>0</v>
      </c>
    </row>
    <row r="21" spans="2:8" ht="20.25">
      <c r="B21" s="66" t="s">
        <v>34</v>
      </c>
      <c r="C21" s="61">
        <f>MAX(C19,C20)</f>
        <v>5811715.525688833</v>
      </c>
      <c r="D21" s="62">
        <f>MAX(D19,D20)</f>
        <v>53296705.788480006</v>
      </c>
      <c r="E21" s="62">
        <f>MAX(E19,E20)</f>
        <v>0</v>
      </c>
      <c r="F21" s="62">
        <f>MAX(F19,F20)</f>
        <v>0</v>
      </c>
      <c r="G21" s="62">
        <f>MAX(G19,G20)</f>
        <v>0</v>
      </c>
      <c r="H21" s="54">
        <f>SUM(C21:G21)</f>
        <v>59108421.31416884</v>
      </c>
    </row>
    <row r="22" spans="2:7" ht="15">
      <c r="B22" s="1"/>
      <c r="C22" s="6"/>
      <c r="D22" s="6"/>
      <c r="E22" s="6"/>
      <c r="F22" s="6"/>
      <c r="G22" s="6"/>
    </row>
    <row r="23" ht="18.75">
      <c r="A23" s="66" t="s">
        <v>37</v>
      </c>
    </row>
    <row r="24" spans="3:7" ht="15">
      <c r="C24" s="1" t="s">
        <v>0</v>
      </c>
      <c r="D24" s="1" t="s">
        <v>1</v>
      </c>
      <c r="E24" s="1" t="s">
        <v>2</v>
      </c>
      <c r="F24" s="1" t="s">
        <v>3</v>
      </c>
      <c r="G24" s="1" t="s">
        <v>4</v>
      </c>
    </row>
    <row r="25" spans="2:7" ht="15.75">
      <c r="B25" s="1" t="s">
        <v>24</v>
      </c>
      <c r="C25" s="55">
        <f>NSW_EL*NSW_P*NSW_PRAFL*NSW_VFPM*(GST+1)</f>
        <v>224654.54973250948</v>
      </c>
      <c r="D25" s="56">
        <f>QLD_EL*QLD_P*QLD_PRAFL*QLD_VFPM*(GST+1)</f>
        <v>3468515.7735359995</v>
      </c>
      <c r="E25" s="56">
        <f>SA_EL*SA_P*SA_PRAFL*SA_VFPM*(GST+1)</f>
        <v>0</v>
      </c>
      <c r="F25" s="56">
        <f>TAS_EL*TAS_P*TAS_PRAFL*TAS_VFPM*(GST+1)</f>
        <v>0</v>
      </c>
      <c r="G25" s="57">
        <f>VIC_EL*VIC_P*VIC_PRAFL*VIC_VFPM*(GST+1)</f>
        <v>0</v>
      </c>
    </row>
    <row r="26" spans="2:7" ht="15.75">
      <c r="B26" s="1" t="s">
        <v>25</v>
      </c>
      <c r="C26" s="61">
        <f>NSW_EG*NSW_P*NSW_PRAFG*NSW_VFPM*(GST+1)</f>
        <v>0</v>
      </c>
      <c r="D26" s="62">
        <f>QLD_EG*QLD_P*QLD_PRAFG*QLD_VFPM*(GST+1)</f>
        <v>0</v>
      </c>
      <c r="E26" s="62">
        <f>SA_EG*SA_P*SA_PRAFG*SA_VFPM*(GST+1)</f>
        <v>0</v>
      </c>
      <c r="F26" s="62">
        <f>TAS_EG*TAS_P*TAS_PRAFG*TAS_VFPM*(GST+1)</f>
        <v>0</v>
      </c>
      <c r="G26" s="63">
        <f>VIC_EG*VIC_P*VIC_PRAFG*VIC_VFPM*(GST+1)</f>
        <v>0</v>
      </c>
    </row>
    <row r="27" spans="1:7" ht="15">
      <c r="A27" s="1" t="s">
        <v>26</v>
      </c>
      <c r="B27" s="1"/>
      <c r="C27" s="6"/>
      <c r="D27" s="6"/>
      <c r="E27" s="6"/>
      <c r="F27" s="6"/>
      <c r="G27" s="6"/>
    </row>
    <row r="28" spans="1:7" ht="15">
      <c r="A28" t="s">
        <v>27</v>
      </c>
      <c r="B28" s="1"/>
      <c r="C28" s="6">
        <f>NSW_RD*NSW_P*NSW_PRAFR*NSW_VFPM</f>
        <v>0</v>
      </c>
      <c r="D28" s="6">
        <f>QLD_RD*QLD_P*QLD_PRAFR*QLD_VFPM</f>
        <v>0</v>
      </c>
      <c r="E28" s="6">
        <f>SA_RD*SA_P*SA_PRAFR*SA_VFPM</f>
        <v>0</v>
      </c>
      <c r="F28" s="6">
        <f>TAS_RD*TAS_P*TAS_PRAFR*TAS_VFPM</f>
        <v>0</v>
      </c>
      <c r="G28" s="6">
        <f>VIC_RD*VIC_P*VIC_PRAFR*VIC_VFPM</f>
        <v>0</v>
      </c>
    </row>
    <row r="29" spans="1:7" ht="15">
      <c r="A29" t="s">
        <v>28</v>
      </c>
      <c r="B29" s="1"/>
      <c r="C29" s="6">
        <f>NSW_RDS*(NSW_P*NSW_PRAFR*NSW_VFPM-NSW_PDS)</f>
        <v>0</v>
      </c>
      <c r="D29" s="6">
        <f>QLD_RDS*(QLD_P*QLD_PRAFR*QLD_VFPM-QLD_PDS)</f>
        <v>0</v>
      </c>
      <c r="E29" s="6">
        <f>SA_RDS*(SA_P*SA_PRAFR*SA_VFPM-SA_PDS)</f>
        <v>0</v>
      </c>
      <c r="F29" s="6">
        <f>TAS_RDS*(TAS_P*TAS_PRAFR*TAS_VFPM-TAS_PDS)</f>
        <v>0</v>
      </c>
      <c r="G29" s="6">
        <f>VIC_RDS*(VIC_P*VIC_PRAFR*VIC_VFPM-VIC_PDS)</f>
        <v>0</v>
      </c>
    </row>
    <row r="30" spans="1:7" ht="15">
      <c r="A30" t="s">
        <v>29</v>
      </c>
      <c r="B30" s="1"/>
      <c r="C30" s="6">
        <f>NSW_RDC*(NSW_P*NSW_PRAFR*NSW_VFPM-NSW_P*NSW_PRAFRC*NSW_VFPM)</f>
        <v>0</v>
      </c>
      <c r="D30" s="6">
        <f>QLD_RDC*(QLD_P*QLD_PRAFR*QLD_VFPM-QLD_P*QLD_PRAFRC*QLD_VFPM)</f>
        <v>0</v>
      </c>
      <c r="E30" s="6">
        <f>SA_RDC*(SA_P*SA_PRAFR*SA_VFPM-SA_P*SA_PRAFRC*SA_VFPM)</f>
        <v>0</v>
      </c>
      <c r="F30" s="6">
        <f>TAS_RDC*(TAS_P*TAS_PRAFR*TAS_VFPM-TAS_P*TAS_PRAFRC*TAS_VFPM)</f>
        <v>0</v>
      </c>
      <c r="G30" s="6">
        <f>VIC_RDC*(VIC_P*VIC_PRAFR*VIC_VFPM-VIC_P*VIC_PRAFRC*VIC_VFPM)</f>
        <v>0</v>
      </c>
    </row>
    <row r="31" spans="2:7" ht="15.75">
      <c r="B31" s="1" t="s">
        <v>30</v>
      </c>
      <c r="C31" s="52">
        <f>SUM(C28:C30)</f>
        <v>0</v>
      </c>
      <c r="D31" s="53">
        <f>SUM(D28:D30)</f>
        <v>0</v>
      </c>
      <c r="E31" s="53">
        <f>SUM(E28:E30)</f>
        <v>0</v>
      </c>
      <c r="F31" s="53">
        <f>SUM(F28:F30)</f>
        <v>0</v>
      </c>
      <c r="G31" s="54">
        <f>SUM(G28:G30)</f>
        <v>0</v>
      </c>
    </row>
    <row r="32" spans="1:7" ht="15">
      <c r="A32" s="1" t="s">
        <v>31</v>
      </c>
      <c r="B32" s="1"/>
      <c r="C32" s="6"/>
      <c r="D32" s="6"/>
      <c r="E32" s="6"/>
      <c r="F32" s="6"/>
      <c r="G32" s="6"/>
    </row>
    <row r="33" spans="1:7" ht="15">
      <c r="A33" t="s">
        <v>27</v>
      </c>
      <c r="B33" s="1"/>
      <c r="C33" s="6">
        <f>NSW_RC*NSW_P*NSW_PRAFR*NSW_VFPM</f>
        <v>0</v>
      </c>
      <c r="D33" s="6">
        <f>QLD_RC*QLD_P*QLD_PRAFR*QLD_VFPM</f>
        <v>0</v>
      </c>
      <c r="E33" s="6">
        <f>SA_RC*SA_P*SA_PRAFR*SA_VFPM</f>
        <v>0</v>
      </c>
      <c r="F33" s="6">
        <f>TAS_RC*TAS_P*TAS_PRAFR*TAS_VFPM</f>
        <v>0</v>
      </c>
      <c r="G33" s="6">
        <f>VIC_RC*VIC_P*VIC_PRAFR*VIC_VFPM</f>
        <v>0</v>
      </c>
    </row>
    <row r="34" spans="1:7" ht="15">
      <c r="A34" t="s">
        <v>28</v>
      </c>
      <c r="B34" s="1"/>
      <c r="C34" s="6">
        <f>NSW_RCS*(NSW_P*NSW_PRAFR*NSW_VFPM-NSW_PCS)</f>
        <v>0</v>
      </c>
      <c r="D34" s="6">
        <f>QLD_RCS*(QLD_P*QLD_PRAFR*QLD_VFPM-QLD_PCS)</f>
        <v>0</v>
      </c>
      <c r="E34" s="6">
        <f>SA_RCS*(SA_P*SA_PRAFR*SA_VFPM-SA_PCS)</f>
        <v>0</v>
      </c>
      <c r="F34" s="6">
        <f>TAS_RCS*(TAS_P*TAS_PRAFR*TAS_VFPM-TAS_PCS)</f>
        <v>0</v>
      </c>
      <c r="G34" s="6">
        <f>VIC_RCS*(VIC_P*VIC_PRAFR*VIC_VFPM-VIC_PCS)</f>
        <v>0</v>
      </c>
    </row>
    <row r="35" spans="1:7" ht="15">
      <c r="A35" t="s">
        <v>29</v>
      </c>
      <c r="B35" s="1"/>
      <c r="C35" s="6">
        <f>NSW_RCC*(NSW_P*NSW_PRAFR*NSW_VFPM-NSW_P*NSW_PRAFRC*NSW_VFPM)</f>
        <v>0</v>
      </c>
      <c r="D35" s="6">
        <f>QLD_RCC*(QLD_P*QLD_PRAFR*QLD_VFPM-QLD_P*QLD_PRAFRC*QLD_VFPM)</f>
        <v>0</v>
      </c>
      <c r="E35" s="6">
        <f>SA_RCC*(SA_P*SA_PRAFR*SA_VFPM-SA_P*SA_PRAFRC*SA_VFPM)</f>
        <v>0</v>
      </c>
      <c r="F35" s="6">
        <f>TAS_RCC*(TAS_P*TAS_PRAFR*TAS_VFPM-TAS_P*TAS_PRAFRC*TAS_VFPM)</f>
        <v>0</v>
      </c>
      <c r="G35" s="6">
        <f>VIC_RCC*(VIC_P*VIC_PRAFR*VIC_VFPM-VIC_P*VIC_PRAFRC*VIC_VFPM)</f>
        <v>0</v>
      </c>
    </row>
    <row r="36" spans="2:7" ht="15.75">
      <c r="B36" s="1" t="s">
        <v>32</v>
      </c>
      <c r="C36" s="52">
        <f>SUM(C33:C35)</f>
        <v>0</v>
      </c>
      <c r="D36" s="53">
        <f>SUM(D33:D35)</f>
        <v>0</v>
      </c>
      <c r="E36" s="53">
        <f>SUM(E33:E35)</f>
        <v>0</v>
      </c>
      <c r="F36" s="53">
        <f>SUM(F33:F35)</f>
        <v>0</v>
      </c>
      <c r="G36" s="54">
        <f>SUM(G33:G35)</f>
        <v>0</v>
      </c>
    </row>
    <row r="37" spans="1:8" ht="15.75">
      <c r="A37" t="s">
        <v>41</v>
      </c>
      <c r="C37" s="6">
        <f>C25-C26</f>
        <v>224654.54973250948</v>
      </c>
      <c r="D37" s="6">
        <f>D25-D26</f>
        <v>3468515.7735359995</v>
      </c>
      <c r="E37" s="6">
        <f>E25-E26</f>
        <v>0</v>
      </c>
      <c r="F37" s="6">
        <f>F25-F26</f>
        <v>0</v>
      </c>
      <c r="G37" s="6">
        <f>G25-G26</f>
        <v>0</v>
      </c>
      <c r="H37" s="64">
        <f>MAX(0,SUM(C37:G37))*TRP</f>
        <v>25852192.26287956</v>
      </c>
    </row>
    <row r="38" spans="1:8" ht="15.75">
      <c r="A38" t="s">
        <v>42</v>
      </c>
      <c r="C38" s="6">
        <f>C31-C36+C16-C17</f>
        <v>0</v>
      </c>
      <c r="D38" s="6">
        <f>D31-D36+D16-D17</f>
        <v>0</v>
      </c>
      <c r="E38" s="6">
        <f>E31-E36+E16-E17</f>
        <v>0</v>
      </c>
      <c r="F38" s="6">
        <f>F31-F36+F16-F17</f>
        <v>0</v>
      </c>
      <c r="G38" s="6">
        <f>G31-G36+G16-G17</f>
        <v>0</v>
      </c>
      <c r="H38" s="65">
        <f>MAX(0,SUM(C38:G38))*TRP</f>
        <v>0</v>
      </c>
    </row>
    <row r="40" spans="2:8" ht="21">
      <c r="B40" s="68" t="s">
        <v>35</v>
      </c>
      <c r="C40" s="6"/>
      <c r="D40" s="6"/>
      <c r="E40" s="6"/>
      <c r="F40" s="6"/>
      <c r="H40" s="69">
        <f>H37+H38</f>
        <v>25852192.26287956</v>
      </c>
    </row>
    <row r="41" ht="21">
      <c r="B41" s="68"/>
    </row>
    <row r="42" spans="2:8" ht="21">
      <c r="B42" s="68" t="s">
        <v>36</v>
      </c>
      <c r="C42" s="6"/>
      <c r="D42" s="6"/>
      <c r="E42" s="6"/>
      <c r="F42" s="6"/>
      <c r="H42" s="69">
        <f>MAX(0,H40+H21)</f>
        <v>84960613.5770484</v>
      </c>
    </row>
  </sheetData>
  <sheetProtection/>
  <mergeCells count="1">
    <mergeCell ref="A16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zoomScale="80" zoomScaleNormal="80" zoomScalePageLayoutView="0" workbookViewId="0" topLeftCell="A1">
      <selection activeCell="K28" sqref="K28"/>
    </sheetView>
  </sheetViews>
  <sheetFormatPr defaultColWidth="9.140625" defaultRowHeight="15"/>
  <cols>
    <col min="1" max="1" width="34.28125" style="0" customWidth="1"/>
  </cols>
  <sheetData>
    <row r="1" spans="1:2" ht="21">
      <c r="A1" s="67" t="s">
        <v>79</v>
      </c>
      <c r="B1">
        <v>35</v>
      </c>
    </row>
    <row r="2" spans="1:2" ht="21">
      <c r="A2" s="67" t="s">
        <v>80</v>
      </c>
      <c r="B2">
        <v>7</v>
      </c>
    </row>
    <row r="3" spans="1:2" ht="18">
      <c r="A3" s="67" t="s">
        <v>23</v>
      </c>
      <c r="B3" s="5">
        <v>0.1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Taylor 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Sims</dc:creator>
  <cp:keywords/>
  <dc:description/>
  <cp:lastModifiedBy>Ruth Guest</cp:lastModifiedBy>
  <dcterms:created xsi:type="dcterms:W3CDTF">2012-05-09T03:49:59Z</dcterms:created>
  <dcterms:modified xsi:type="dcterms:W3CDTF">2012-06-18T05:29:00Z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0x0101009BE89D58CAF0934CA32A20BCFFD353DC004E6CBA2B726B5B478DD1DFD884CC5D1D</vt:lpwstr>
  </property>
  <property fmtid="{D5CDD505-2E9C-101B-9397-08002B2CF9AE}" pid="3" name="AEMOKeywords">
    <vt:lpwstr/>
  </property>
  <property fmtid="{D5CDD505-2E9C-101B-9397-08002B2CF9AE}" pid="4" name="_dlc_DocIdItemGuid">
    <vt:lpwstr>fa26db9c-da62-4bbb-8055-0a8282fbce83</vt:lpwstr>
  </property>
  <property fmtid="{D5CDD505-2E9C-101B-9397-08002B2CF9AE}" pid="5" name="AEMOCustodian">
    <vt:lpwstr/>
  </property>
  <property fmtid="{D5CDD505-2E9C-101B-9397-08002B2CF9AE}" pid="6" name="ArchiveDocument">
    <vt:lpwstr>0</vt:lpwstr>
  </property>
  <property fmtid="{D5CDD505-2E9C-101B-9397-08002B2CF9AE}" pid="7" name="AEMODocumentTypeTaxHTField0">
    <vt:lpwstr/>
  </property>
  <property fmtid="{D5CDD505-2E9C-101B-9397-08002B2CF9AE}" pid="8" name="AEMOKeywordsTaxHTField0">
    <vt:lpwstr/>
  </property>
  <property fmtid="{D5CDD505-2E9C-101B-9397-08002B2CF9AE}" pid="9" name="TaxCatchAll">
    <vt:lpwstr/>
  </property>
  <property fmtid="{D5CDD505-2E9C-101B-9397-08002B2CF9AE}" pid="10" name="AEMODescription">
    <vt:lpwstr/>
  </property>
  <property fmtid="{D5CDD505-2E9C-101B-9397-08002B2CF9AE}" pid="11" name="_dlc_DocId">
    <vt:lpwstr>METERNSETTLE-76-10689</vt:lpwstr>
  </property>
  <property fmtid="{D5CDD505-2E9C-101B-9397-08002B2CF9AE}" pid="12" name="_dlc_DocIdUrl">
    <vt:lpwstr>http://sharedocs/sites/mns/NEMSettlements/_layouts/DocIdRedir.aspx?ID=METERNSETTLE-76-10689, METERNSETTLE-76-10689</vt:lpwstr>
  </property>
</Properties>
</file>