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markets/o/sc/rcm/BRCP/2019/Final report/"/>
    </mc:Choice>
  </mc:AlternateContent>
  <xr:revisionPtr revIDLastSave="0" documentId="10_ncr:100000_{618E35DE-D93F-4659-9A19-66CB2FDBBC36}" xr6:coauthVersionLast="31" xr6:coauthVersionMax="31" xr10:uidLastSave="{00000000-0000-0000-0000-000000000000}"/>
  <bookViews>
    <workbookView xWindow="-108" yWindow="96" windowWidth="15312" windowHeight="3528" tabRatio="890" activeTab="10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definedNames>
    <definedName name="_xlnm.Print_Area" localSheetId="3">'ANNUALISED_FIXED_O&amp;M'!$A$1:$X$152</definedName>
  </definedNames>
  <calcPr calcId="179017"/>
</workbook>
</file>

<file path=xl/calcChain.xml><?xml version="1.0" encoding="utf-8"?>
<calcChain xmlns="http://schemas.openxmlformats.org/spreadsheetml/2006/main">
  <c r="C116" i="2" l="1"/>
  <c r="C14" i="5" l="1"/>
  <c r="C13" i="5"/>
  <c r="C12" i="5"/>
  <c r="B3" i="6" l="1"/>
  <c r="C6" i="4" l="1"/>
  <c r="C113" i="2" l="1"/>
  <c r="C29" i="2" l="1"/>
  <c r="C30" i="2"/>
  <c r="C31" i="2"/>
  <c r="C32" i="2"/>
  <c r="B16" i="1" l="1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B29" i="2"/>
  <c r="B30" i="2"/>
  <c r="B31" i="2"/>
  <c r="B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/>
  <c r="G52" i="2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B63" i="2"/>
  <c r="C63" i="2"/>
  <c r="B64" i="2"/>
  <c r="C64" i="2"/>
  <c r="B65" i="2"/>
  <c r="C65" i="2"/>
  <c r="B66" i="2"/>
  <c r="C66" i="2"/>
  <c r="D85" i="2"/>
  <c r="E85" i="2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/>
  <c r="G86" i="2"/>
  <c r="H86" i="2" s="1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87" i="2"/>
  <c r="J87" i="2" s="1"/>
  <c r="B115" i="2" l="1"/>
  <c r="B114" i="2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B18" i="4"/>
  <c r="C20" i="2"/>
  <c r="D53" i="2"/>
  <c r="D54" i="2" s="1"/>
  <c r="C54" i="2"/>
  <c r="M20" i="2"/>
  <c r="H20" i="2"/>
  <c r="E12" i="9"/>
  <c r="B29" i="9" s="1"/>
  <c r="B30" i="9" s="1"/>
  <c r="B31" i="9" s="1"/>
  <c r="B32" i="9" s="1"/>
  <c r="I20" i="2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17" i="4"/>
  <c r="B20" i="4" s="1"/>
  <c r="B21" i="4" s="1"/>
  <c r="J88" i="2"/>
  <c r="K87" i="2"/>
  <c r="N88" i="2"/>
  <c r="O87" i="2"/>
  <c r="I88" i="2"/>
  <c r="E87" i="2"/>
  <c r="E88" i="2" s="1"/>
  <c r="Q53" i="2"/>
  <c r="Q54" i="2" s="1"/>
  <c r="O54" i="2"/>
  <c r="E53" i="2"/>
  <c r="C115" i="2" l="1"/>
  <c r="K53" i="2"/>
  <c r="E20" i="2"/>
  <c r="F19" i="2"/>
  <c r="O19" i="2"/>
  <c r="N20" i="2"/>
  <c r="K19" i="2"/>
  <c r="J20" i="2"/>
  <c r="B106" i="2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F20" i="2" l="1"/>
  <c r="G19" i="2"/>
  <c r="G20" i="2" s="1"/>
  <c r="C111" i="2"/>
  <c r="C127" i="2" s="1"/>
  <c r="C90" i="2"/>
  <c r="P19" i="2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D90" i="2" s="1"/>
  <c r="E55" i="2"/>
  <c r="D56" i="2"/>
  <c r="P20" i="2" l="1"/>
  <c r="Q19" i="2"/>
  <c r="Q20" i="2" s="1"/>
  <c r="E21" i="2"/>
  <c r="F21" i="2" s="1"/>
  <c r="E89" i="2"/>
  <c r="E90" i="2" s="1"/>
  <c r="F55" i="2"/>
  <c r="E56" i="2"/>
  <c r="E22" i="2" l="1"/>
  <c r="F89" i="2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Neetika Kapani</author>
    <author>Katelyn Rigden</author>
  </authors>
  <commentList>
    <comment ref="B10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1/04/2021</t>
        </r>
      </text>
    </comment>
    <comment ref="B108" authorId="1" shapeId="0" xr:uid="{00000000-0006-0000-0300-000002000000}">
      <text>
        <r>
          <rPr>
            <sz val="9"/>
            <color indexed="81"/>
            <rFont val="Tahoma"/>
            <family val="2"/>
          </rPr>
          <t>Calculated an average from all premiums provided.</t>
        </r>
      </text>
    </comment>
    <comment ref="B109" authorId="2" shapeId="0" xr:uid="{00000000-0006-0000-0300-000003000000}">
      <text>
        <r>
          <rPr>
            <sz val="9"/>
            <color indexed="81"/>
            <rFont val="Tahoma"/>
            <family val="2"/>
          </rPr>
          <t>Consistant with 2017 and 2018 as per advice</t>
        </r>
      </text>
    </comment>
    <comment ref="B110" authorId="2" shapeId="0" xr:uid="{00000000-0006-0000-0300-000004000000}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Calculated as 2018 Premium  (inc 10% stamp duty) Esculated using CPI to April 2021. 
</t>
        </r>
      </text>
    </comment>
    <comment ref="B115" authorId="1" shapeId="0" xr:uid="{00000000-0006-0000-0300-000006000000}">
      <text>
        <r>
          <rPr>
            <sz val="9"/>
            <color indexed="81"/>
            <rFont val="Tahoma"/>
            <family val="2"/>
          </rPr>
          <t>As at 30 June 2018 escalated to April 2021 using CPI (based on insurance advice)</t>
        </r>
      </text>
    </comment>
    <comment ref="B133" authorId="1" shapeId="0" xr:uid="{00000000-0006-0000-0300-000007000000}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 xr:uid="{00000000-0006-0000-0300-000008000000}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<sst xmlns="http://schemas.openxmlformats.org/spreadsheetml/2006/main" count="282" uniqueCount="169">
  <si>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</si>
  <si>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</si>
  <si>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</si>
  <si>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</si>
  <si>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</si>
  <si>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</si>
  <si>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</si>
  <si>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</si>
  <si>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</si>
  <si>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</si>
  <si>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</si>
  <si>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</si>
  <si>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</si>
  <si>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</si>
  <si>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</si>
  <si>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</si>
  <si>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</si>
  <si>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</si>
  <si>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</si>
  <si>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</si>
  <si>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</si>
  <si>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</si>
  <si>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</si>
  <si>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</si>
  <si>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</si>
  <si>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</si>
  <si>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</si>
  <si>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</si>
  <si>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</si>
  <si>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</si>
  <si>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</si>
  <si>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</si>
  <si>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</si>
  <si>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</si>
  <si>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</si>
  <si>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</si>
  <si>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</si>
  <si>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</si>
  <si>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</si>
  <si>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</si>
  <si>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</si>
  <si>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</si>
  <si>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</si>
  <si>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</si>
  <si>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</si>
  <si>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</si>
  <si>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</si>
  <si>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</si>
  <si>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</si>
  <si>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</si>
  <si>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</si>
  <si>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</si>
  <si>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</si>
  <si>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</si>
  <si>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</si>
  <si>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</si>
  <si>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</si>
  <si>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</si>
  <si>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</si>
  <si>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</si>
  <si>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</si>
  <si>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</si>
  <si>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</si>
  <si>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</si>
  <si>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</si>
  <si>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</si>
  <si>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</si>
  <si>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</si>
  <si>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</si>
  <si>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</si>
  <si>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</si>
  <si>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</si>
  <si>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</si>
  <si>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</si>
  <si>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</si>
  <si>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</si>
  <si>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</si>
  <si>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</si>
  <si>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</si>
  <si>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</si>
  <si>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</si>
  <si>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</si>
  <si>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</si>
  <si>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</si>
  <si>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</si>
  <si>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</si>
  <si>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</si>
  <si>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</si>
  <si>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</si>
  <si>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</si>
  <si>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</si>
  <si>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</si>
  <si>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</si>
  <si>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</si>
  <si>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</si>
  <si>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</si>
  <si>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</si>
  <si>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</si>
  <si>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</si>
  <si>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</si>
  <si>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</si>
  <si>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</si>
  <si>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</si>
  <si>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</si>
  <si>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</si>
  <si>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</si>
  <si>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</si>
  <si>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</si>
  <si>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</si>
  <si>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</si>
  <si>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</si>
  <si>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</si>
  <si>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</si>
  <si>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</si>
  <si>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</si>
  <si>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</si>
  <si>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</si>
  <si>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</si>
  <si>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</si>
  <si>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</si>
  <si>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</si>
  <si>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</si>
  <si>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</si>
  <si>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</si>
  <si>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</si>
  <si>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</si>
  <si>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</si>
  <si>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</si>
  <si>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</si>
  <si>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</si>
  <si>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</si>
  <si>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</si>
  <si>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</si>
  <si>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</si>
  <si>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</si>
  <si>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</si>
  <si>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</si>
  <si>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</si>
  <si>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</si>
  <si>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</si>
  <si>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</si>
  <si>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</si>
  <si>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</si>
  <si>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</si>
  <si>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</si>
  <si>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</si>
  <si>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</si>
  <si>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</si>
  <si>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</si>
  <si>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</si>
  <si>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</si>
  <si>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</si>
  <si>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</si>
  <si>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</si>
  <si>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</si>
  <si>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</si>
  <si>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</si>
  <si>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</si>
  <si>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</si>
  <si>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</si>
  <si>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</si>
  <si>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</si>
  <si>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</si>
  <si>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</si>
  <si>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</si>
  <si>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</si>
  <si>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2018</t>
  </si>
  <si>
    <t>Draft report for 2021-22</t>
  </si>
  <si>
    <t>Total easement cost 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</si>
</sst>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6" xr:uid="{00000000-0005-0000-0000-000003000000}"/>
    <cellStyle name="Percent" xfId="3" builtinId="5"/>
    <cellStyle name="Percent 2" xfId="4" xr:uid="{00000000-0005-0000-0000-000005000000}"/>
    <cellStyle name="Percent 2 2" xfId="7" xr:uid="{00000000-0005-0000-0000-000006000000}"/>
    <cellStyle name="Percent 3" xfId="5" xr:uid="{00000000-0005-0000-0000-000007000000}"/>
    <cellStyle name="Percent 3 2" xfId="8" xr:uid="{00000000-0005-0000-0000-000008000000}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39"/>
  <sheetViews>
    <sheetView showGridLines="0" workbookViewId="0">
      <selection activeCell="A30" sqref="A30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157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158</v>
      </c>
    </row>
    <row r="20" spans="1:1" x14ac:dyDescent="0.25">
      <c r="A20" s="129" t="s">
        <v>81</v>
      </c>
    </row>
    <row r="21" spans="1:1" x14ac:dyDescent="0.25">
      <c r="A21" s="129" t="s">
        <v>159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workbookViewId="0">
      <selection activeCell="I16" sqref="I16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1400000</v>
      </c>
      <c r="D5" s="123">
        <v>210215</v>
      </c>
      <c r="E5" s="91">
        <f>B5*C5+D5</f>
        <v>4410215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2000000</v>
      </c>
      <c r="D6" s="123">
        <v>302915</v>
      </c>
      <c r="E6" s="91">
        <f t="shared" ref="E6:E11" si="0">B6*C6+D6</f>
        <v>6302915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125000</v>
      </c>
      <c r="D9" s="123">
        <v>13727.5</v>
      </c>
      <c r="E9" s="91">
        <f t="shared" si="0"/>
        <v>388727.5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2162849.2857142859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43281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44287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43646</v>
      </c>
      <c r="E18" s="101">
        <f>VLOOKUP($E$14,ESCALATION_FACTORS!$A$5:$E$9,2,)</f>
        <v>0.02</v>
      </c>
      <c r="G18" s="19"/>
    </row>
    <row r="19" spans="1:7" ht="13.8" thickBot="1" x14ac:dyDescent="0.3">
      <c r="B19" s="14"/>
      <c r="D19" s="92">
        <f>ESCALATION_FACTORS!$C$4</f>
        <v>44012</v>
      </c>
      <c r="E19" s="101">
        <f>VLOOKUP($E$14,ESCALATION_FACTORS!$A$5:$E$9,3,)</f>
        <v>2.2499999999999999E-2</v>
      </c>
      <c r="G19" s="19"/>
    </row>
    <row r="20" spans="1:7" ht="13.8" thickBot="1" x14ac:dyDescent="0.3">
      <c r="B20" s="14"/>
      <c r="D20" s="92">
        <f>ESCALATION_FACTORS!$D$4</f>
        <v>44377</v>
      </c>
      <c r="E20" s="101">
        <f>VLOOKUP($E$14,ESCALATION_FACTORS!$A$5:$E$9,4,)</f>
        <v>2.375E-2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2295990.5310411188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2162849.2857142859</v>
      </c>
      <c r="G29" s="17"/>
    </row>
    <row r="30" spans="1:7" ht="13.8" thickBot="1" x14ac:dyDescent="0.3">
      <c r="A30" s="136" t="s">
        <v>136</v>
      </c>
      <c r="B30" s="137">
        <f>B29/3</f>
        <v>720949.76190476201</v>
      </c>
      <c r="G30" s="110"/>
    </row>
    <row r="31" spans="1:7" ht="13.8" thickBot="1" x14ac:dyDescent="0.3">
      <c r="A31" s="138" t="s">
        <v>166</v>
      </c>
      <c r="B31" s="139">
        <f>B30*12*50%</f>
        <v>4325698.5714285718</v>
      </c>
      <c r="G31" s="45"/>
    </row>
    <row r="32" spans="1:7" ht="13.8" thickBot="1" x14ac:dyDescent="0.3">
      <c r="A32" s="138" t="s">
        <v>168</v>
      </c>
      <c r="B32" s="140">
        <f>B31*(1+ESCALATION_FACTORS!B8)</f>
        <v>4412212.5428571431</v>
      </c>
      <c r="G32" s="111"/>
    </row>
  </sheetData>
  <sheetProtection algorithmName="SHA-512" hashValue="TPRiw28KnZsQWHFMd+u2yeo6ua8qglq6L43DfRPGLRMq8x26BH/uYjdbFgVbsuvSEoNy7l1Yij6GS0JG/iz0lg==" saltValue="nKJTFQcy2PRZ1k0+K8fsCQ==" spinCount="100000" sheet="1" objects="1" scenarios="1"/>
  <phoneticPr fontId="4" type="noConversion"/>
  <hyperlinks>
    <hyperlink ref="G4" r:id="rId1" xr:uid="{00000000-0004-0000-0900-000000000000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0"/>
  <sheetViews>
    <sheetView showGridLines="0" tabSelected="1" zoomScaleNormal="100" workbookViewId="0">
      <selection activeCell="J31" sqref="J31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63" t="s">
        <v>65</v>
      </c>
      <c r="B1" s="165"/>
      <c r="C1" s="165"/>
      <c r="D1" s="165"/>
      <c r="E1" s="164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66" t="s">
        <v>129</v>
      </c>
      <c r="C3" s="166"/>
      <c r="D3" s="166"/>
      <c r="E3" s="166"/>
      <c r="F3"/>
    </row>
    <row r="4" spans="1:10" ht="13.8" thickBot="1" x14ac:dyDescent="0.3">
      <c r="A4"/>
      <c r="B4" s="154">
        <v>43646</v>
      </c>
      <c r="C4" s="155">
        <v>44012</v>
      </c>
      <c r="D4" s="154">
        <v>44377</v>
      </c>
      <c r="E4" s="155">
        <v>44742</v>
      </c>
      <c r="F4"/>
      <c r="G4" s="19"/>
      <c r="H4" s="19"/>
      <c r="I4" s="19"/>
      <c r="J4" s="19"/>
    </row>
    <row r="5" spans="1:10" ht="18" customHeight="1" x14ac:dyDescent="0.25">
      <c r="A5" s="162" t="s">
        <v>82</v>
      </c>
      <c r="B5" s="156">
        <v>5.2999999999999999E-2</v>
      </c>
      <c r="C5" s="157">
        <v>-1.0999999999999999E-2</v>
      </c>
      <c r="D5" s="157">
        <v>1E-3</v>
      </c>
      <c r="E5" s="158">
        <v>6.0000000000000001E-3</v>
      </c>
      <c r="F5"/>
      <c r="G5" s="19"/>
      <c r="H5" s="19"/>
      <c r="I5" s="19"/>
      <c r="J5" s="19"/>
    </row>
    <row r="6" spans="1:10" ht="18" customHeight="1" x14ac:dyDescent="0.25">
      <c r="A6" s="162" t="s">
        <v>104</v>
      </c>
      <c r="B6" s="125">
        <v>1.9E-2</v>
      </c>
      <c r="C6" s="126">
        <v>2.4E-2</v>
      </c>
      <c r="D6" s="126">
        <v>2.1000000000000001E-2</v>
      </c>
      <c r="E6" s="127">
        <v>2.4E-2</v>
      </c>
      <c r="F6"/>
      <c r="G6" s="19"/>
      <c r="H6" s="19"/>
      <c r="I6" s="19"/>
      <c r="J6" s="19"/>
    </row>
    <row r="7" spans="1:10" ht="18" customHeight="1" x14ac:dyDescent="0.25">
      <c r="A7" s="162" t="s">
        <v>127</v>
      </c>
      <c r="B7" s="125">
        <v>2.3E-2</v>
      </c>
      <c r="C7" s="126">
        <v>3.3000000000000002E-2</v>
      </c>
      <c r="D7" s="126">
        <v>2.4E-2</v>
      </c>
      <c r="E7" s="127">
        <v>2.3E-2</v>
      </c>
      <c r="F7"/>
      <c r="G7" s="19"/>
      <c r="H7" s="19"/>
      <c r="I7" s="19"/>
      <c r="J7" s="19"/>
    </row>
    <row r="8" spans="1:10" ht="18" customHeight="1" x14ac:dyDescent="0.25">
      <c r="A8" s="161" t="s">
        <v>66</v>
      </c>
      <c r="B8" s="125">
        <v>0.02</v>
      </c>
      <c r="C8" s="125">
        <v>2.2499999999999999E-2</v>
      </c>
      <c r="D8" s="125">
        <v>2.375E-2</v>
      </c>
      <c r="E8" s="125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161" t="s">
        <v>128</v>
      </c>
      <c r="B9" s="128">
        <v>1.17E-2</v>
      </c>
      <c r="C9" s="159">
        <v>1.17E-2</v>
      </c>
      <c r="D9" s="159">
        <v>1.17E-2</v>
      </c>
      <c r="E9" s="160">
        <v>1.17E-2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A14" sqref="A14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161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162</v>
      </c>
      <c r="B3" s="35">
        <f>B10+B13/B16</f>
        <v>154186.11391906731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163</v>
      </c>
      <c r="B7" s="67"/>
      <c r="C7" s="66"/>
      <c r="D7" s="23"/>
      <c r="E7" s="23"/>
      <c r="F7" s="23"/>
    </row>
    <row r="8" spans="1:6" x14ac:dyDescent="0.25">
      <c r="A8" s="147" t="s">
        <v>164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29776.440340452406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18835624.579802301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9mBy87Aeo7AUmlKQeH74wrQmzOXmm4A43gM3yI898vUtTg7q2czcBHHEvqyT8Mjms0BQoxv4Y13cK4DYztZqsA==" saltValue="waGpwUjxNI87NJaG2kFRiA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A37" sqref="A37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843378.52961546904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0.17154417628233121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179028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7109637.8488042597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2295990.5310411188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5.3461710477414437E-2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191011923.39214498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5.3461710477414437E-2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18835624.579802301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algorithmName="SHA-512" hashValue="alfW3HG0W5Qnte9iflvxfFfhUF4IuhMhEgWPZ0Ezta2ydaX8SfpZ4//xVeDGnj1Aq5YyYjO5qejCS/0swjqlyw==" saltValue="8ZjIJbdsvx0LI8U9KB3ZJg==" spinCount="100000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zoomScale="85" zoomScaleNormal="85" workbookViewId="0">
      <selection activeCell="E5" sqref="E5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10075450</v>
      </c>
      <c r="E6" s="19"/>
    </row>
    <row r="7" spans="1:5" ht="13.8" thickBot="1" x14ac:dyDescent="0.3">
      <c r="A7" s="12" t="s">
        <v>34</v>
      </c>
      <c r="B7" s="97"/>
      <c r="C7" s="2">
        <v>10075450</v>
      </c>
      <c r="E7" s="19"/>
    </row>
    <row r="8" spans="1:5" ht="13.8" thickBot="1" x14ac:dyDescent="0.3">
      <c r="A8" s="12" t="s">
        <v>35</v>
      </c>
      <c r="B8" s="97"/>
      <c r="C8" s="2">
        <v>10075450</v>
      </c>
      <c r="E8" s="19"/>
    </row>
    <row r="9" spans="1:5" ht="13.8" thickBot="1" x14ac:dyDescent="0.3">
      <c r="A9" s="28" t="s">
        <v>99</v>
      </c>
      <c r="B9" s="63"/>
      <c r="C9" s="2">
        <v>10075450</v>
      </c>
      <c r="E9" s="19"/>
    </row>
    <row r="10" spans="1:5" ht="13.8" thickBot="1" x14ac:dyDescent="0.3">
      <c r="A10" s="12" t="s">
        <v>37</v>
      </c>
      <c r="B10" s="97"/>
      <c r="C10" s="2">
        <v>10075450</v>
      </c>
      <c r="E10" s="19"/>
    </row>
    <row r="11" spans="1:5" ht="13.8" thickBot="1" x14ac:dyDescent="0.3">
      <c r="A11" s="25" t="s">
        <v>38</v>
      </c>
      <c r="B11" s="97"/>
      <c r="C11" s="2">
        <v>10075450</v>
      </c>
      <c r="E11" s="19"/>
    </row>
    <row r="12" spans="1:5" ht="13.8" thickBot="1" x14ac:dyDescent="0.3">
      <c r="A12" s="12" t="s">
        <v>39</v>
      </c>
      <c r="B12" s="97"/>
      <c r="C12" s="2">
        <v>10075450</v>
      </c>
      <c r="E12" s="19"/>
    </row>
    <row r="13" spans="1:5" ht="13.8" thickBot="1" x14ac:dyDescent="0.3">
      <c r="A13" s="12" t="s">
        <v>40</v>
      </c>
      <c r="B13" s="97"/>
      <c r="C13" s="2">
        <v>10075450</v>
      </c>
      <c r="E13" s="19"/>
    </row>
    <row r="14" spans="1:5" ht="13.8" thickBot="1" x14ac:dyDescent="0.3">
      <c r="A14" s="12" t="s">
        <v>41</v>
      </c>
      <c r="B14" s="97"/>
      <c r="C14" s="2">
        <v>10075450</v>
      </c>
      <c r="E14" s="19"/>
    </row>
    <row r="15" spans="1:5" ht="13.8" thickBot="1" x14ac:dyDescent="0.3">
      <c r="A15" s="13" t="s">
        <v>42</v>
      </c>
      <c r="B15" s="98"/>
      <c r="C15" s="2">
        <v>10075450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10075450</v>
      </c>
      <c r="D19" s="39">
        <f>C19</f>
        <v>10075450</v>
      </c>
      <c r="E19" s="39">
        <f>D19</f>
        <v>10075450</v>
      </c>
      <c r="F19" s="39">
        <f>E19</f>
        <v>10075450</v>
      </c>
      <c r="G19" s="39">
        <f>F19</f>
        <v>10075450</v>
      </c>
      <c r="H19" s="40">
        <f>C7</f>
        <v>10075450</v>
      </c>
      <c r="I19" s="39">
        <f>H19</f>
        <v>10075450</v>
      </c>
      <c r="J19" s="39">
        <f t="shared" si="1"/>
        <v>10075450</v>
      </c>
      <c r="K19" s="39">
        <f t="shared" si="1"/>
        <v>10075450</v>
      </c>
      <c r="L19" s="39">
        <f t="shared" si="1"/>
        <v>10075450</v>
      </c>
      <c r="M19" s="40">
        <f>C8</f>
        <v>10075450</v>
      </c>
      <c r="N19" s="39">
        <f>M19</f>
        <v>10075450</v>
      </c>
      <c r="O19" s="39">
        <f t="shared" si="1"/>
        <v>10075450</v>
      </c>
      <c r="P19" s="39">
        <f t="shared" si="1"/>
        <v>10075450</v>
      </c>
      <c r="Q19" s="39">
        <f t="shared" si="1"/>
        <v>10075450</v>
      </c>
    </row>
    <row r="20" spans="1:17" x14ac:dyDescent="0.25">
      <c r="A20" s="14" t="s">
        <v>45</v>
      </c>
      <c r="B20" s="14"/>
      <c r="C20" s="39">
        <f>C19/C18</f>
        <v>2015090</v>
      </c>
      <c r="D20" s="39">
        <f t="shared" ref="D20:Q20" si="2">D19/D18</f>
        <v>2015090</v>
      </c>
      <c r="E20" s="39">
        <f t="shared" si="2"/>
        <v>2015090</v>
      </c>
      <c r="F20" s="39">
        <f t="shared" si="2"/>
        <v>2015090</v>
      </c>
      <c r="G20" s="39">
        <f t="shared" si="2"/>
        <v>2015090</v>
      </c>
      <c r="H20" s="39">
        <f t="shared" si="2"/>
        <v>2015090</v>
      </c>
      <c r="I20" s="39">
        <f t="shared" si="2"/>
        <v>2015090</v>
      </c>
      <c r="J20" s="39">
        <f t="shared" si="2"/>
        <v>2015090</v>
      </c>
      <c r="K20" s="39">
        <f t="shared" si="2"/>
        <v>2015090</v>
      </c>
      <c r="L20" s="39">
        <f t="shared" si="2"/>
        <v>2015090</v>
      </c>
      <c r="M20" s="39">
        <f t="shared" si="2"/>
        <v>2015090</v>
      </c>
      <c r="N20" s="39">
        <f t="shared" si="2"/>
        <v>2015090</v>
      </c>
      <c r="O20" s="39">
        <f t="shared" si="2"/>
        <v>2015090</v>
      </c>
      <c r="P20" s="39">
        <f t="shared" si="2"/>
        <v>2015090</v>
      </c>
      <c r="Q20" s="39">
        <f t="shared" si="2"/>
        <v>2015090</v>
      </c>
    </row>
    <row r="21" spans="1:17" x14ac:dyDescent="0.25">
      <c r="A21" s="14" t="s">
        <v>14</v>
      </c>
      <c r="B21" s="14"/>
      <c r="C21" s="41">
        <f>WACC!B21</f>
        <v>5.3461710477414437E-2</v>
      </c>
      <c r="D21" s="41">
        <f>C21</f>
        <v>5.3461710477414437E-2</v>
      </c>
      <c r="E21" s="41">
        <f t="shared" ref="E21:Q21" si="3">D21</f>
        <v>5.3461710477414437E-2</v>
      </c>
      <c r="F21" s="41">
        <f t="shared" si="3"/>
        <v>5.3461710477414437E-2</v>
      </c>
      <c r="G21" s="41">
        <f t="shared" si="3"/>
        <v>5.3461710477414437E-2</v>
      </c>
      <c r="H21" s="41">
        <f t="shared" si="3"/>
        <v>5.3461710477414437E-2</v>
      </c>
      <c r="I21" s="41">
        <f t="shared" si="3"/>
        <v>5.3461710477414437E-2</v>
      </c>
      <c r="J21" s="41">
        <f t="shared" si="3"/>
        <v>5.3461710477414437E-2</v>
      </c>
      <c r="K21" s="41">
        <f t="shared" si="3"/>
        <v>5.3461710477414437E-2</v>
      </c>
      <c r="L21" s="41">
        <f t="shared" si="3"/>
        <v>5.3461710477414437E-2</v>
      </c>
      <c r="M21" s="41">
        <f t="shared" si="3"/>
        <v>5.3461710477414437E-2</v>
      </c>
      <c r="N21" s="41">
        <f t="shared" si="3"/>
        <v>5.3461710477414437E-2</v>
      </c>
      <c r="O21" s="41">
        <f t="shared" si="3"/>
        <v>5.3461710477414437E-2</v>
      </c>
      <c r="P21" s="41">
        <f t="shared" si="3"/>
        <v>5.3461710477414437E-2</v>
      </c>
      <c r="Q21" s="41">
        <f t="shared" si="3"/>
        <v>5.3461710477414437E-2</v>
      </c>
    </row>
    <row r="22" spans="1:17" x14ac:dyDescent="0.25">
      <c r="A22" s="14" t="s">
        <v>46</v>
      </c>
      <c r="B22" s="14"/>
      <c r="C22" s="38">
        <f>C20/(1+C21)^C17</f>
        <v>1912826.9968984339</v>
      </c>
      <c r="D22" s="38">
        <f>D20/(1+D21)^D17</f>
        <v>1815753.6983774824</v>
      </c>
      <c r="E22" s="38">
        <f>E20/(1+E21)^E17</f>
        <v>1723606.7341779396</v>
      </c>
      <c r="F22" s="38">
        <f>F20/(1+F21)^F17</f>
        <v>1636136.0997134151</v>
      </c>
      <c r="G22" s="38">
        <f t="shared" ref="G22:Q22" si="4">G20/(1+G21)^G17</f>
        <v>1553104.4777811058</v>
      </c>
      <c r="H22" s="38">
        <f t="shared" si="4"/>
        <v>1474286.5946947993</v>
      </c>
      <c r="I22" s="38">
        <f t="shared" si="4"/>
        <v>1399468.6090932272</v>
      </c>
      <c r="J22" s="38">
        <f t="shared" si="4"/>
        <v>1328447.5317655422</v>
      </c>
      <c r="K22" s="38">
        <f t="shared" si="4"/>
        <v>1261030.674919839</v>
      </c>
      <c r="L22" s="38">
        <f t="shared" si="4"/>
        <v>1197035.1294005334</v>
      </c>
      <c r="M22" s="38">
        <f t="shared" si="4"/>
        <v>1136287.268436224</v>
      </c>
      <c r="N22" s="38">
        <f t="shared" si="4"/>
        <v>1078622.2765716603</v>
      </c>
      <c r="O22" s="38">
        <f t="shared" si="4"/>
        <v>1023883.7025057547</v>
      </c>
      <c r="P22" s="38">
        <f t="shared" si="4"/>
        <v>971923.03462243977</v>
      </c>
      <c r="Q22" s="38">
        <f t="shared" si="4"/>
        <v>922599.29806274362</v>
      </c>
    </row>
    <row r="23" spans="1:17" x14ac:dyDescent="0.25">
      <c r="A23" s="14" t="s">
        <v>47</v>
      </c>
      <c r="B23" s="14"/>
      <c r="C23" s="42">
        <f>SUM(C22:Q22)</f>
        <v>20435012.127021141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2015090.0000000005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43281</v>
      </c>
      <c r="D26" s="9"/>
    </row>
    <row r="27" spans="1:17" s="19" customFormat="1" ht="13.8" thickBot="1" x14ac:dyDescent="0.3">
      <c r="A27" s="20" t="s">
        <v>113</v>
      </c>
      <c r="B27" s="20"/>
      <c r="C27" s="32">
        <v>44470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43646</v>
      </c>
      <c r="C29" s="101">
        <f>VLOOKUP($C$25,ESCALATION_FACTORS!$A$5:$E$9,2,)</f>
        <v>1.9E-2</v>
      </c>
    </row>
    <row r="30" spans="1:17" ht="13.8" thickBot="1" x14ac:dyDescent="0.3">
      <c r="A30" s="20"/>
      <c r="B30" s="92">
        <f>ESCALATION_FACTORS!$C$4</f>
        <v>44012</v>
      </c>
      <c r="C30" s="101">
        <f>VLOOKUP($C$25,ESCALATION_FACTORS!$A$5:$E$9,3,)</f>
        <v>2.4E-2</v>
      </c>
    </row>
    <row r="31" spans="1:17" ht="13.8" thickBot="1" x14ac:dyDescent="0.3">
      <c r="A31" s="20"/>
      <c r="B31" s="92">
        <f>ESCALATION_FACTORS!$D$4</f>
        <v>44377</v>
      </c>
      <c r="C31" s="101">
        <f>VLOOKUP($C$25,ESCALATION_FACTORS!$A$5:$E$9,4,)</f>
        <v>2.1000000000000001E-2</v>
      </c>
    </row>
    <row r="32" spans="1:17" ht="13.8" thickBot="1" x14ac:dyDescent="0.3">
      <c r="B32" s="92">
        <f>ESCALATION_FACTORS!$E$4</f>
        <v>44742</v>
      </c>
      <c r="C32" s="101">
        <f>VLOOKUP($C$25,ESCALATION_FACTORS!$A$5:$E$9,5,)</f>
        <v>2.4E-2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14265.691495457808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73</v>
      </c>
      <c r="B39" s="95"/>
      <c r="C39" s="37"/>
    </row>
    <row r="40" spans="1:5" ht="13.8" thickBot="1" x14ac:dyDescent="0.3">
      <c r="A40" s="12" t="s">
        <v>36</v>
      </c>
      <c r="B40" s="96"/>
      <c r="C40" s="122">
        <v>382000</v>
      </c>
      <c r="E40" s="19"/>
    </row>
    <row r="41" spans="1:5" ht="13.8" thickBot="1" x14ac:dyDescent="0.3">
      <c r="A41" s="12" t="s">
        <v>34</v>
      </c>
      <c r="B41" s="97"/>
      <c r="C41" s="122">
        <v>382000</v>
      </c>
      <c r="E41" s="19"/>
    </row>
    <row r="42" spans="1:5" ht="13.8" thickBot="1" x14ac:dyDescent="0.3">
      <c r="A42" s="12" t="s">
        <v>35</v>
      </c>
      <c r="B42" s="97"/>
      <c r="C42" s="122">
        <v>382000</v>
      </c>
      <c r="E42" s="19"/>
    </row>
    <row r="43" spans="1:5" ht="13.8" thickBot="1" x14ac:dyDescent="0.3">
      <c r="A43" s="12" t="s">
        <v>99</v>
      </c>
      <c r="B43" s="97"/>
      <c r="C43" s="122">
        <v>382000</v>
      </c>
      <c r="E43" s="19"/>
    </row>
    <row r="44" spans="1:5" ht="13.8" thickBot="1" x14ac:dyDescent="0.3">
      <c r="A44" s="12" t="s">
        <v>37</v>
      </c>
      <c r="B44" s="97"/>
      <c r="C44" s="122">
        <v>382000</v>
      </c>
      <c r="E44" s="19"/>
    </row>
    <row r="45" spans="1:5" ht="13.8" thickBot="1" x14ac:dyDescent="0.3">
      <c r="A45" s="12" t="s">
        <v>38</v>
      </c>
      <c r="B45" s="97"/>
      <c r="C45" s="122">
        <v>382000</v>
      </c>
      <c r="E45" s="19"/>
    </row>
    <row r="46" spans="1:5" ht="13.8" thickBot="1" x14ac:dyDescent="0.3">
      <c r="A46" s="12" t="s">
        <v>39</v>
      </c>
      <c r="B46" s="97"/>
      <c r="C46" s="122">
        <v>382000</v>
      </c>
      <c r="E46" s="19"/>
    </row>
    <row r="47" spans="1:5" ht="13.8" thickBot="1" x14ac:dyDescent="0.3">
      <c r="A47" s="12" t="s">
        <v>40</v>
      </c>
      <c r="B47" s="97"/>
      <c r="C47" s="122">
        <v>382000</v>
      </c>
      <c r="E47" s="19"/>
    </row>
    <row r="48" spans="1:5" ht="13.8" thickBot="1" x14ac:dyDescent="0.3">
      <c r="A48" s="12" t="s">
        <v>41</v>
      </c>
      <c r="B48" s="97"/>
      <c r="C48" s="122">
        <v>382000</v>
      </c>
      <c r="E48" s="19"/>
    </row>
    <row r="49" spans="1:17" ht="13.8" thickBot="1" x14ac:dyDescent="0.3">
      <c r="A49" s="13" t="s">
        <v>42</v>
      </c>
      <c r="B49" s="98"/>
      <c r="C49" s="122">
        <v>382000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382000</v>
      </c>
      <c r="D53" s="39">
        <f>C53</f>
        <v>382000</v>
      </c>
      <c r="E53" s="39">
        <f>D53</f>
        <v>382000</v>
      </c>
      <c r="F53" s="39">
        <f>E53</f>
        <v>382000</v>
      </c>
      <c r="G53" s="39">
        <f>F53</f>
        <v>382000</v>
      </c>
      <c r="H53" s="40">
        <f>C41</f>
        <v>382000</v>
      </c>
      <c r="I53" s="39">
        <f>H53</f>
        <v>382000</v>
      </c>
      <c r="J53" s="39">
        <f t="shared" si="6"/>
        <v>382000</v>
      </c>
      <c r="K53" s="39">
        <f t="shared" si="6"/>
        <v>382000</v>
      </c>
      <c r="L53" s="39">
        <f t="shared" si="6"/>
        <v>382000</v>
      </c>
      <c r="M53" s="40">
        <f>C42</f>
        <v>382000</v>
      </c>
      <c r="N53" s="39">
        <f>M53</f>
        <v>382000</v>
      </c>
      <c r="O53" s="39">
        <f t="shared" si="6"/>
        <v>382000</v>
      </c>
      <c r="P53" s="39">
        <f t="shared" si="6"/>
        <v>382000</v>
      </c>
      <c r="Q53" s="39">
        <f t="shared" si="6"/>
        <v>382000</v>
      </c>
    </row>
    <row r="54" spans="1:17" x14ac:dyDescent="0.25">
      <c r="A54" s="14" t="s">
        <v>45</v>
      </c>
      <c r="B54" s="14"/>
      <c r="C54" s="39">
        <f>C53/C52</f>
        <v>76400</v>
      </c>
      <c r="D54" s="39">
        <f>D53/D52</f>
        <v>76400</v>
      </c>
      <c r="E54" s="39">
        <f t="shared" ref="E54:Q54" si="7">E53/E52</f>
        <v>76400</v>
      </c>
      <c r="F54" s="39">
        <f t="shared" si="7"/>
        <v>76400</v>
      </c>
      <c r="G54" s="39">
        <f t="shared" si="7"/>
        <v>76400</v>
      </c>
      <c r="H54" s="39">
        <f t="shared" si="7"/>
        <v>76400</v>
      </c>
      <c r="I54" s="39">
        <f t="shared" si="7"/>
        <v>76400</v>
      </c>
      <c r="J54" s="39">
        <f t="shared" si="7"/>
        <v>76400</v>
      </c>
      <c r="K54" s="39">
        <f t="shared" si="7"/>
        <v>76400</v>
      </c>
      <c r="L54" s="39">
        <f t="shared" si="7"/>
        <v>76400</v>
      </c>
      <c r="M54" s="39">
        <f t="shared" si="7"/>
        <v>76400</v>
      </c>
      <c r="N54" s="39">
        <f t="shared" si="7"/>
        <v>76400</v>
      </c>
      <c r="O54" s="39">
        <f t="shared" si="7"/>
        <v>76400</v>
      </c>
      <c r="P54" s="39">
        <f t="shared" si="7"/>
        <v>76400</v>
      </c>
      <c r="Q54" s="39">
        <f t="shared" si="7"/>
        <v>76400</v>
      </c>
    </row>
    <row r="55" spans="1:17" x14ac:dyDescent="0.25">
      <c r="A55" s="9" t="s">
        <v>14</v>
      </c>
      <c r="B55" s="14"/>
      <c r="C55" s="41">
        <f>WACC!B21</f>
        <v>5.3461710477414437E-2</v>
      </c>
      <c r="D55" s="41">
        <f>C55</f>
        <v>5.3461710477414437E-2</v>
      </c>
      <c r="E55" s="41">
        <f t="shared" ref="E55:Q55" si="8">D55</f>
        <v>5.3461710477414437E-2</v>
      </c>
      <c r="F55" s="41">
        <f t="shared" si="8"/>
        <v>5.3461710477414437E-2</v>
      </c>
      <c r="G55" s="41">
        <f t="shared" si="8"/>
        <v>5.3461710477414437E-2</v>
      </c>
      <c r="H55" s="41">
        <f t="shared" si="8"/>
        <v>5.3461710477414437E-2</v>
      </c>
      <c r="I55" s="41">
        <f t="shared" si="8"/>
        <v>5.3461710477414437E-2</v>
      </c>
      <c r="J55" s="41">
        <f t="shared" si="8"/>
        <v>5.3461710477414437E-2</v>
      </c>
      <c r="K55" s="41">
        <f t="shared" si="8"/>
        <v>5.3461710477414437E-2</v>
      </c>
      <c r="L55" s="41">
        <f t="shared" si="8"/>
        <v>5.3461710477414437E-2</v>
      </c>
      <c r="M55" s="41">
        <f t="shared" si="8"/>
        <v>5.3461710477414437E-2</v>
      </c>
      <c r="N55" s="41">
        <f t="shared" si="8"/>
        <v>5.3461710477414437E-2</v>
      </c>
      <c r="O55" s="41">
        <f t="shared" si="8"/>
        <v>5.3461710477414437E-2</v>
      </c>
      <c r="P55" s="41">
        <f t="shared" si="8"/>
        <v>5.3461710477414437E-2</v>
      </c>
      <c r="Q55" s="41">
        <f t="shared" si="8"/>
        <v>5.3461710477414437E-2</v>
      </c>
    </row>
    <row r="56" spans="1:17" x14ac:dyDescent="0.25">
      <c r="A56" s="45" t="s">
        <v>46</v>
      </c>
      <c r="B56" s="14"/>
      <c r="C56" s="38">
        <f>C54/(1+C55)^C51</f>
        <v>72522.80670493147</v>
      </c>
      <c r="D56" s="38">
        <f t="shared" ref="D56:Q56" si="9">D54/(1+D55)^D51</f>
        <v>68842.375554461411</v>
      </c>
      <c r="E56" s="38">
        <f t="shared" si="9"/>
        <v>65348.721144561576</v>
      </c>
      <c r="F56" s="38">
        <f t="shared" si="9"/>
        <v>62032.364816511872</v>
      </c>
      <c r="G56" s="38">
        <f t="shared" si="9"/>
        <v>58884.308940283801</v>
      </c>
      <c r="H56" s="38">
        <f t="shared" si="9"/>
        <v>55896.012503006146</v>
      </c>
      <c r="I56" s="38">
        <f t="shared" si="9"/>
        <v>53059.367936282026</v>
      </c>
      <c r="J56" s="38">
        <f t="shared" si="9"/>
        <v>50366.679119487177</v>
      </c>
      <c r="K56" s="38">
        <f t="shared" si="9"/>
        <v>47810.640499370107</v>
      </c>
      <c r="L56" s="38">
        <f t="shared" si="9"/>
        <v>45384.317269303487</v>
      </c>
      <c r="M56" s="38">
        <f t="shared" si="9"/>
        <v>43081.12655441073</v>
      </c>
      <c r="N56" s="38">
        <f t="shared" si="9"/>
        <v>40894.819551521199</v>
      </c>
      <c r="O56" s="38">
        <f t="shared" si="9"/>
        <v>38819.464575497703</v>
      </c>
      <c r="P56" s="38">
        <f t="shared" si="9"/>
        <v>36849.430965939187</v>
      </c>
      <c r="Q56" s="38">
        <f t="shared" si="9"/>
        <v>34979.373810595862</v>
      </c>
    </row>
    <row r="57" spans="1:17" x14ac:dyDescent="0.25">
      <c r="A57" s="14" t="s">
        <v>47</v>
      </c>
      <c r="B57" s="14"/>
      <c r="C57" s="42">
        <f>SUM(C56:Q56)</f>
        <v>774771.80994616367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76400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43281</v>
      </c>
      <c r="D60" s="9"/>
    </row>
    <row r="61" spans="1:17" s="19" customFormat="1" ht="13.8" thickBot="1" x14ac:dyDescent="0.3">
      <c r="A61" s="20" t="s">
        <v>113</v>
      </c>
      <c r="B61" s="20"/>
      <c r="C61" s="32">
        <v>44470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43646</v>
      </c>
      <c r="C63" s="101">
        <f>VLOOKUP($C$59,ESCALATION_FACTORS!$A$5:$E$9,2,)</f>
        <v>2.3E-2</v>
      </c>
    </row>
    <row r="64" spans="1:17" s="19" customFormat="1" ht="13.8" thickBot="1" x14ac:dyDescent="0.3">
      <c r="A64" s="20"/>
      <c r="B64" s="92">
        <f>ESCALATION_FACTORS!$C$4</f>
        <v>44012</v>
      </c>
      <c r="C64" s="101">
        <f>VLOOKUP($C$59,ESCALATION_FACTORS!$A$5:$E$9,3,)</f>
        <v>3.3000000000000002E-2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44377</v>
      </c>
      <c r="C65" s="101">
        <f>VLOOKUP($C$59,ESCALATION_FACTORS!$A$5:$E$9,4,)</f>
        <v>2.4E-2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44742</v>
      </c>
      <c r="C66" s="101">
        <f>VLOOKUP($C$59,ESCALATION_FACTORS!$A$5:$E$9,5,)</f>
        <v>2.3E-2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549.23683095031913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23850</v>
      </c>
      <c r="E72" s="19"/>
    </row>
    <row r="73" spans="1:5" ht="13.8" thickBot="1" x14ac:dyDescent="0.3">
      <c r="A73" s="12" t="s">
        <v>34</v>
      </c>
      <c r="B73" s="97"/>
      <c r="C73" s="122">
        <v>23850</v>
      </c>
      <c r="E73" s="19"/>
    </row>
    <row r="74" spans="1:5" ht="13.8" thickBot="1" x14ac:dyDescent="0.3">
      <c r="A74" s="12" t="s">
        <v>35</v>
      </c>
      <c r="B74" s="97"/>
      <c r="C74" s="122">
        <v>23850</v>
      </c>
      <c r="E74" s="19"/>
    </row>
    <row r="75" spans="1:5" ht="13.8" thickBot="1" x14ac:dyDescent="0.3">
      <c r="A75" s="12" t="s">
        <v>99</v>
      </c>
      <c r="B75" s="97"/>
      <c r="C75" s="122">
        <v>23850</v>
      </c>
      <c r="E75" s="19"/>
    </row>
    <row r="76" spans="1:5" ht="13.8" thickBot="1" x14ac:dyDescent="0.3">
      <c r="A76" s="12" t="s">
        <v>37</v>
      </c>
      <c r="B76" s="97"/>
      <c r="C76" s="122">
        <v>23850</v>
      </c>
      <c r="E76" s="19"/>
    </row>
    <row r="77" spans="1:5" ht="13.8" thickBot="1" x14ac:dyDescent="0.3">
      <c r="A77" s="12" t="s">
        <v>38</v>
      </c>
      <c r="B77" s="97"/>
      <c r="C77" s="122">
        <v>23850</v>
      </c>
      <c r="E77" s="19"/>
    </row>
    <row r="78" spans="1:5" ht="13.8" thickBot="1" x14ac:dyDescent="0.3">
      <c r="A78" s="12" t="s">
        <v>39</v>
      </c>
      <c r="B78" s="97"/>
      <c r="C78" s="122">
        <v>23850</v>
      </c>
      <c r="E78" s="19"/>
    </row>
    <row r="79" spans="1:5" ht="13.8" thickBot="1" x14ac:dyDescent="0.3">
      <c r="A79" s="12" t="s">
        <v>40</v>
      </c>
      <c r="B79" s="97"/>
      <c r="C79" s="122">
        <v>23850</v>
      </c>
      <c r="E79" s="19"/>
    </row>
    <row r="80" spans="1:5" ht="13.8" thickBot="1" x14ac:dyDescent="0.3">
      <c r="A80" s="12" t="s">
        <v>41</v>
      </c>
      <c r="B80" s="97"/>
      <c r="C80" s="122">
        <v>23850</v>
      </c>
      <c r="E80" s="19"/>
    </row>
    <row r="81" spans="1:17" ht="13.8" thickBot="1" x14ac:dyDescent="0.3">
      <c r="A81" s="12" t="s">
        <v>42</v>
      </c>
      <c r="B81" s="97"/>
      <c r="C81" s="122">
        <v>23850</v>
      </c>
      <c r="E81" s="19"/>
    </row>
    <row r="82" spans="1:17" ht="13.8" thickBot="1" x14ac:dyDescent="0.3">
      <c r="A82" s="12" t="s">
        <v>51</v>
      </c>
      <c r="B82" s="97"/>
      <c r="C82" s="122">
        <v>23850</v>
      </c>
      <c r="E82" s="19"/>
    </row>
    <row r="83" spans="1:17" ht="13.8" thickBot="1" x14ac:dyDescent="0.3">
      <c r="A83" s="13" t="s">
        <v>52</v>
      </c>
      <c r="B83" s="98"/>
      <c r="C83" s="122">
        <v>23850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23850</v>
      </c>
      <c r="D87" s="39">
        <f>C87</f>
        <v>23850</v>
      </c>
      <c r="E87" s="39">
        <f>D87</f>
        <v>23850</v>
      </c>
      <c r="F87" s="39">
        <f>E87</f>
        <v>23850</v>
      </c>
      <c r="G87" s="39">
        <f>F87</f>
        <v>23850</v>
      </c>
      <c r="H87" s="39">
        <f>C73</f>
        <v>23850</v>
      </c>
      <c r="I87" s="39">
        <f>H87</f>
        <v>23850</v>
      </c>
      <c r="J87" s="39">
        <f t="shared" si="11"/>
        <v>23850</v>
      </c>
      <c r="K87" s="39">
        <f t="shared" si="11"/>
        <v>23850</v>
      </c>
      <c r="L87" s="39">
        <f t="shared" si="11"/>
        <v>23850</v>
      </c>
      <c r="M87" s="39">
        <f>C74</f>
        <v>23850</v>
      </c>
      <c r="N87" s="39">
        <f>M87</f>
        <v>23850</v>
      </c>
      <c r="O87" s="39">
        <f t="shared" si="11"/>
        <v>23850</v>
      </c>
      <c r="P87" s="39">
        <f t="shared" si="11"/>
        <v>23850</v>
      </c>
      <c r="Q87" s="39">
        <f t="shared" si="11"/>
        <v>23850</v>
      </c>
    </row>
    <row r="88" spans="1:17" x14ac:dyDescent="0.25">
      <c r="A88" s="14" t="s">
        <v>45</v>
      </c>
      <c r="B88" s="14"/>
      <c r="C88" s="39">
        <f>C87/C86</f>
        <v>4770</v>
      </c>
      <c r="D88" s="39">
        <f t="shared" ref="D88:Q88" si="12">D87/D86</f>
        <v>4770</v>
      </c>
      <c r="E88" s="39">
        <f>E87/E86</f>
        <v>4770</v>
      </c>
      <c r="F88" s="39">
        <f t="shared" si="12"/>
        <v>4770</v>
      </c>
      <c r="G88" s="39">
        <f t="shared" si="12"/>
        <v>4770</v>
      </c>
      <c r="H88" s="39">
        <f t="shared" si="12"/>
        <v>4770</v>
      </c>
      <c r="I88" s="39">
        <f t="shared" si="12"/>
        <v>4770</v>
      </c>
      <c r="J88" s="39">
        <f t="shared" si="12"/>
        <v>4770</v>
      </c>
      <c r="K88" s="39">
        <f t="shared" si="12"/>
        <v>4770</v>
      </c>
      <c r="L88" s="39">
        <f t="shared" si="12"/>
        <v>4770</v>
      </c>
      <c r="M88" s="39">
        <f t="shared" si="12"/>
        <v>4770</v>
      </c>
      <c r="N88" s="39">
        <f t="shared" si="12"/>
        <v>4770</v>
      </c>
      <c r="O88" s="39">
        <f t="shared" si="12"/>
        <v>4770</v>
      </c>
      <c r="P88" s="39">
        <f t="shared" si="12"/>
        <v>4770</v>
      </c>
      <c r="Q88" s="39">
        <f t="shared" si="12"/>
        <v>4770</v>
      </c>
    </row>
    <row r="89" spans="1:17" x14ac:dyDescent="0.25">
      <c r="A89" s="14" t="s">
        <v>14</v>
      </c>
      <c r="B89" s="14"/>
      <c r="C89" s="41">
        <f>WACC!B21</f>
        <v>5.3461710477414437E-2</v>
      </c>
      <c r="D89" s="41">
        <f>C89</f>
        <v>5.3461710477414437E-2</v>
      </c>
      <c r="E89" s="41">
        <f t="shared" ref="E89:Q89" si="13">D89</f>
        <v>5.3461710477414437E-2</v>
      </c>
      <c r="F89" s="41">
        <f t="shared" si="13"/>
        <v>5.3461710477414437E-2</v>
      </c>
      <c r="G89" s="41">
        <f t="shared" si="13"/>
        <v>5.3461710477414437E-2</v>
      </c>
      <c r="H89" s="41">
        <f t="shared" si="13"/>
        <v>5.3461710477414437E-2</v>
      </c>
      <c r="I89" s="41">
        <f t="shared" si="13"/>
        <v>5.3461710477414437E-2</v>
      </c>
      <c r="J89" s="41">
        <f t="shared" si="13"/>
        <v>5.3461710477414437E-2</v>
      </c>
      <c r="K89" s="41">
        <f t="shared" si="13"/>
        <v>5.3461710477414437E-2</v>
      </c>
      <c r="L89" s="41">
        <f t="shared" si="13"/>
        <v>5.3461710477414437E-2</v>
      </c>
      <c r="M89" s="41">
        <f t="shared" si="13"/>
        <v>5.3461710477414437E-2</v>
      </c>
      <c r="N89" s="41">
        <f t="shared" si="13"/>
        <v>5.3461710477414437E-2</v>
      </c>
      <c r="O89" s="41">
        <f t="shared" si="13"/>
        <v>5.3461710477414437E-2</v>
      </c>
      <c r="P89" s="41">
        <f t="shared" si="13"/>
        <v>5.3461710477414437E-2</v>
      </c>
      <c r="Q89" s="41">
        <f t="shared" si="13"/>
        <v>5.3461710477414437E-2</v>
      </c>
    </row>
    <row r="90" spans="1:17" x14ac:dyDescent="0.25">
      <c r="A90" s="14" t="s">
        <v>46</v>
      </c>
      <c r="B90" s="14"/>
      <c r="C90" s="38">
        <f>C88/(1+C89)^C85</f>
        <v>4527.9291620749091</v>
      </c>
      <c r="D90" s="38">
        <f>D88/(1+D89)^D85</f>
        <v>4298.14308108352</v>
      </c>
      <c r="E90" s="38">
        <f>E88/(1+E89)^E85</f>
        <v>4080.0183227690932</v>
      </c>
      <c r="F90" s="38">
        <f t="shared" ref="F90:Q90" si="14">F88/(1+F89)^F85</f>
        <v>3872.9630912926914</v>
      </c>
      <c r="G90" s="38">
        <f t="shared" si="14"/>
        <v>3676.4156236276667</v>
      </c>
      <c r="H90" s="38">
        <f t="shared" si="14"/>
        <v>3489.8426654363784</v>
      </c>
      <c r="I90" s="38">
        <f t="shared" si="14"/>
        <v>3312.738024294048</v>
      </c>
      <c r="J90" s="38">
        <f t="shared" si="14"/>
        <v>3144.6211963344745</v>
      </c>
      <c r="K90" s="38">
        <f t="shared" si="14"/>
        <v>2985.0360625915628</v>
      </c>
      <c r="L90" s="38">
        <f t="shared" si="14"/>
        <v>2833.5496514997071</v>
      </c>
      <c r="M90" s="38">
        <f t="shared" si="14"/>
        <v>2689.7509641955389</v>
      </c>
      <c r="N90" s="38">
        <f t="shared" si="14"/>
        <v>2553.2498594339804</v>
      </c>
      <c r="O90" s="38">
        <f t="shared" si="14"/>
        <v>2423.6759950932465</v>
      </c>
      <c r="P90" s="38">
        <f t="shared" si="14"/>
        <v>2300.6778233969885</v>
      </c>
      <c r="Q90" s="38">
        <f t="shared" si="14"/>
        <v>2183.9216371275165</v>
      </c>
    </row>
    <row r="91" spans="1:17" x14ac:dyDescent="0.25">
      <c r="A91" s="14" t="s">
        <v>47</v>
      </c>
      <c r="B91" s="14"/>
      <c r="C91" s="42">
        <f>SUM(C90:Q90)</f>
        <v>48372.533160251325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4770.0000000000009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43281</v>
      </c>
      <c r="D94" s="9"/>
    </row>
    <row r="95" spans="1:17" s="19" customFormat="1" ht="13.8" thickBot="1" x14ac:dyDescent="0.3">
      <c r="A95" s="20" t="s">
        <v>113</v>
      </c>
      <c r="B95" s="20"/>
      <c r="C95" s="32">
        <v>44470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43646</v>
      </c>
      <c r="C97" s="101">
        <f>VLOOKUP($C$93,ESCALATION_FACTORS!$A$5:$E$9,2,)</f>
        <v>2.3E-2</v>
      </c>
    </row>
    <row r="98" spans="1:11" s="19" customFormat="1" ht="13.8" thickBot="1" x14ac:dyDescent="0.3">
      <c r="A98" s="20"/>
      <c r="B98" s="92">
        <f>ESCALATION_FACTORS!$C$4</f>
        <v>44012</v>
      </c>
      <c r="C98" s="101">
        <f>VLOOKUP($C$93,ESCALATION_FACTORS!$A$5:$E$9,3,)</f>
        <v>3.3000000000000002E-2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44377</v>
      </c>
      <c r="C99" s="101">
        <f>VLOOKUP($C$93,ESCALATION_FACTORS!$A$5:$E$9,4,)</f>
        <v>2.4E-2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44742</v>
      </c>
      <c r="C100" s="101">
        <f>VLOOKUP($C$93,ESCALATION_FACTORS!$A$5:$E$9,5,)</f>
        <v>2.3E-2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34.291357115615483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149591558.00256535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2">
        <f>FFC!C18</f>
        <v>7109637.8488042597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v>2.3999999999999998E-3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3"/>
      <c r="C111" s="43">
        <f>(B106+B107)*B108*B109*B110</f>
        <v>424447.12713085383</v>
      </c>
      <c r="E111" s="19"/>
      <c r="G111" s="64"/>
    </row>
    <row r="112" spans="1:11" s="25" customFormat="1" ht="13.8" thickBot="1" x14ac:dyDescent="0.3">
      <c r="A112" s="148" t="s">
        <v>165</v>
      </c>
      <c r="B112" s="146">
        <v>154186.09</v>
      </c>
      <c r="C112" s="107"/>
      <c r="D112" s="112">
        <f>BRCP_Calculation!B3</f>
        <v>154186.11391906731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126459.76015556928</v>
      </c>
      <c r="E113" s="19"/>
    </row>
    <row r="114" spans="1:5" ht="13.8" thickBot="1" x14ac:dyDescent="0.3">
      <c r="A114" s="106" t="s">
        <v>125</v>
      </c>
      <c r="B114" s="122">
        <f>110000*(1+C122)*(1+C123)*((C124*9/12)+1)</f>
        <v>116768.03015625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22663.706540205374</v>
      </c>
      <c r="C115" s="43">
        <f>IF(AND(C119&gt;=B123,C119&lt;=B124),(B114+B115)*(1+C122)*(1+C123)*(1+C124)^((C119-B123)/(B124-B123)),NA())</f>
        <v>148014.9122253588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698921.79951178189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44287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44470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43646</v>
      </c>
      <c r="C122" s="101">
        <f>VLOOKUP($C$118,ESCALATION_FACTORS!$A$5:$E$9,2,)</f>
        <v>0.02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44012</v>
      </c>
      <c r="C123" s="101">
        <f>VLOOKUP($C$118,ESCALATION_FACTORS!$A$5:$E$9,3,)</f>
        <v>2.2499999999999999E-2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44377</v>
      </c>
      <c r="C124" s="101">
        <f>VLOOKUP($C$118,ESCALATION_FACTORS!$A$5:$E$9,4,)</f>
        <v>2.375E-2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44742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4672.4930214908654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43282</v>
      </c>
    </row>
    <row r="139" spans="1:6" s="19" customFormat="1" ht="13.8" thickBot="1" x14ac:dyDescent="0.3">
      <c r="A139" s="20" t="s">
        <v>113</v>
      </c>
      <c r="B139" s="20"/>
      <c r="C139" s="32">
        <v>44470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43646</v>
      </c>
      <c r="C141" s="101">
        <f>VLOOKUP($C$137,ESCALATION_FACTORS!$A$5:$E$9,2,)</f>
        <v>0.02</v>
      </c>
      <c r="E141" s="19"/>
    </row>
    <row r="142" spans="1:6" s="19" customFormat="1" ht="13.8" thickBot="1" x14ac:dyDescent="0.3">
      <c r="A142" s="20"/>
      <c r="B142" s="92">
        <f>ESCALATION_FACTORS!$C$4</f>
        <v>44012</v>
      </c>
      <c r="C142" s="101">
        <f>VLOOKUP($C$137,ESCALATION_FACTORS!$A$5:$E$9,3,)</f>
        <v>2.2499999999999999E-2</v>
      </c>
      <c r="D142" s="20"/>
    </row>
    <row r="143" spans="1:6" s="19" customFormat="1" ht="13.8" thickBot="1" x14ac:dyDescent="0.3">
      <c r="A143" s="20"/>
      <c r="B143" s="92">
        <f>ESCALATION_FACTORS!$D$4</f>
        <v>44377</v>
      </c>
      <c r="C143" s="101">
        <f>VLOOKUP($C$137,ESCALATION_FACTORS!$A$5:$E$9,4,)</f>
        <v>2.375E-2</v>
      </c>
      <c r="D143" s="20"/>
    </row>
    <row r="144" spans="1:6" s="19" customFormat="1" ht="13.8" thickBot="1" x14ac:dyDescent="0.3">
      <c r="A144" s="9"/>
      <c r="B144" s="92">
        <f>ESCALATION_FACTORS!$E$4</f>
        <v>44742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10254.727635437799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63" t="s">
        <v>83</v>
      </c>
      <c r="B149" s="164"/>
      <c r="C149" s="35">
        <f>SUM($C102,$C68,$C34,$C127,C146)</f>
        <v>29776.440340452406</v>
      </c>
    </row>
    <row r="150" spans="1:4" x14ac:dyDescent="0.25">
      <c r="A150" s="24"/>
      <c r="B150" s="24"/>
    </row>
  </sheetData>
  <sheetProtection algorithmName="SHA-512" hashValue="HSdv6vG+B/Jqd2bq4ptzZnyq67DlMXjAm+HUpbghuZhrep0+QBK0+AlYNrhpuX3+4FEE/lN5fDcwaVZvdvx3Uw==" saltValue="lYbLL2WfTPUfP/Sck13RIQ==" spinCount="100000" sheet="1" autoFilter="0"/>
  <mergeCells count="1">
    <mergeCell ref="A149:B149"/>
  </mergeCells>
  <phoneticPr fontId="4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A29" sqref="A29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2.71</v>
      </c>
      <c r="D4" s="23">
        <f>C4/100</f>
        <v>2.7099999999999999E-2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2.42</v>
      </c>
      <c r="D5" s="23">
        <f>C5/100</f>
        <v>2.4199999999999999E-2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0.28314782269087679</v>
      </c>
      <c r="D6" s="23">
        <f>C6/100</f>
        <v>2.8314782269087679E-3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2.02</v>
      </c>
      <c r="D10" s="23">
        <f>C10/100</f>
        <v>2.0199999999999999E-2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4.8549999999999996E-2</v>
      </c>
      <c r="E17" s="23"/>
    </row>
    <row r="18" spans="1:5" ht="13.8" thickBot="1" x14ac:dyDescent="0.3">
      <c r="A18" s="82" t="s">
        <v>25</v>
      </c>
      <c r="B18" s="84">
        <f>D4+(D9*D7)</f>
        <v>7.6899999999999996E-2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7.8955483870967735E-2</v>
      </c>
      <c r="E20" s="23"/>
    </row>
    <row r="21" spans="1:5" ht="13.8" thickBot="1" x14ac:dyDescent="0.3">
      <c r="A21" s="24" t="s">
        <v>27</v>
      </c>
      <c r="B21" s="85">
        <f>((1+B20)/(1+D5))-1</f>
        <v>5.3461710477414437E-2</v>
      </c>
      <c r="E21" s="23"/>
    </row>
    <row r="24" spans="1:5" x14ac:dyDescent="0.25">
      <c r="C24" s="26"/>
    </row>
  </sheetData>
  <sheetProtection algorithmName="SHA-512" hashValue="MdDucxm5IV5gb2/BCa+OQUFyTHQs5Ro7LurEOdYvoLmbSH8u5cqUofw1ch+bLhcQjaoFkjWY35eNW9VxEZ04qQ==" saltValue="a+4G38iCn5XoO3DJpwYEKQ==" spinCount="100000" sheet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D19" sqref="D19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160</v>
      </c>
      <c r="C3" s="2">
        <v>122517100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809227.87318361946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43281</v>
      </c>
    </row>
    <row r="10" spans="1:8" s="19" customFormat="1" ht="13.8" thickBot="1" x14ac:dyDescent="0.3">
      <c r="A10" s="20" t="s">
        <v>113</v>
      </c>
      <c r="B10" s="20"/>
      <c r="C10" s="32">
        <v>44287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43646</v>
      </c>
      <c r="C12" s="156">
        <f>ESCALATION_FACTORS!B5</f>
        <v>5.2999999999999999E-2</v>
      </c>
    </row>
    <row r="13" spans="1:8" ht="13.8" thickBot="1" x14ac:dyDescent="0.3">
      <c r="A13" s="20"/>
      <c r="B13" s="92">
        <f>ESCALATION_FACTORS!$C$4</f>
        <v>44012</v>
      </c>
      <c r="C13" s="157">
        <f>ESCALATION_FACTORS!C5</f>
        <v>-1.0999999999999999E-2</v>
      </c>
    </row>
    <row r="14" spans="1:8" ht="13.8" thickBot="1" x14ac:dyDescent="0.3">
      <c r="A14" s="20"/>
      <c r="B14" s="92">
        <f>ESCALATION_FACTORS!$D$4</f>
        <v>44377</v>
      </c>
      <c r="C14" s="157">
        <f>ESCALATION_FACTORS!D5</f>
        <v>1E-3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843378.52961546904</v>
      </c>
      <c r="F16" s="133"/>
      <c r="G16" s="151"/>
      <c r="H16" s="130"/>
    </row>
  </sheetData>
  <sheetProtection algorithmName="SHA-512" hashValue="GxOv52Kzgba0WAybN3++He/Zz7ttEsD/1geymDAcMQdEMg2YRzt7fGW6tBTu2ScPVhvwyrkbEdCOoJ+eYwXNJw==" saltValue="3p1oqvdRVpZG7jvB0ZEacw==" spinCount="100000" sheet="1" objects="1" scenario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workbookViewId="0">
      <selection activeCell="D13" sqref="D13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21017095/122517100</f>
        <v>0.17154417628233121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D15"/>
  <sheetViews>
    <sheetView showGridLines="0" zoomScaleNormal="100" workbookViewId="0">
      <selection activeCell="A13" sqref="A13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179028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44287</v>
      </c>
    </row>
    <row r="7" spans="1:4" s="19" customFormat="1" ht="13.8" thickBot="1" x14ac:dyDescent="0.3">
      <c r="A7" s="20" t="s">
        <v>113</v>
      </c>
      <c r="B7" s="32">
        <v>44287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1.17E-2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179028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algorithmName="SHA-512" hashValue="1GK5XpA08U6NovXXtL7Wqv4wwSKdk8vMc+K5DTpOUgQ6mqP7Umattl5v5q4fc3U6G8tcl1nY4jFNl9rczSKYxw==" saltValue="cd8DgGiH+cnkPNU01wzpyw==" spinCount="100000" sheet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G21" sqref="G21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63" t="s">
        <v>90</v>
      </c>
      <c r="B1" s="165"/>
      <c r="C1" s="164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6218460</v>
      </c>
      <c r="E5" s="19"/>
    </row>
    <row r="6" spans="1:7" ht="31.5" customHeight="1" thickBot="1" x14ac:dyDescent="0.3">
      <c r="A6" s="113" t="s">
        <v>109</v>
      </c>
      <c r="C6" s="132">
        <v>478900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6697360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43281</v>
      </c>
    </row>
    <row r="12" spans="1:7" s="19" customFormat="1" ht="13.8" thickBot="1" x14ac:dyDescent="0.3">
      <c r="A12" s="20" t="s">
        <v>113</v>
      </c>
      <c r="C12" s="32">
        <v>44287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43646</v>
      </c>
      <c r="C14" s="101">
        <f>VLOOKUP($C$10,ESCALATION_FACTORS!$A$5:$E$9,2,)</f>
        <v>0.02</v>
      </c>
      <c r="E14" s="19"/>
    </row>
    <row r="15" spans="1:7" s="19" customFormat="1" ht="13.8" thickBot="1" x14ac:dyDescent="0.3">
      <c r="A15" s="20"/>
      <c r="B15" s="92">
        <f>ESCALATION_FACTORS!$C$4</f>
        <v>44012</v>
      </c>
      <c r="C15" s="101">
        <f>VLOOKUP($C$10,ESCALATION_FACTORS!$A$5:$E$9,3,)</f>
        <v>2.2499999999999999E-2</v>
      </c>
      <c r="D15" s="20"/>
    </row>
    <row r="16" spans="1:7" s="19" customFormat="1" ht="13.8" thickBot="1" x14ac:dyDescent="0.3">
      <c r="A16" s="20"/>
      <c r="B16" s="92">
        <f>ESCALATION_FACTORS!$D$4</f>
        <v>44377</v>
      </c>
      <c r="C16" s="101">
        <f>VLOOKUP($C$10,ESCALATION_FACTORS!$A$5:$E$9,4,)</f>
        <v>2.375E-2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7109637.8488042597</v>
      </c>
    </row>
  </sheetData>
  <sheetProtection algorithmName="SHA-512" hashValue="jsr7FirpPE78aX4AN9baHc3Q5TNTd2ypG4XWIkrEbnKclVU+KF+mwZB2zoGblPycVB1Joz4nNTmyNvBoUEZDdw==" saltValue="2bRgf3V+iaVRpLcvzL6xYw==" spinCount="100000" sheet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3" ma:contentTypeDescription="Create a new document." ma:contentTypeScope="" ma:versionID="6abad41b82dd777a0874c52ec357d64c">
  <xsd:schema xmlns:xsd="http://www.w3.org/2001/XMLSchema" xmlns:xs="http://www.w3.org/2001/XMLSchema" xmlns:p="http://schemas.microsoft.com/office/2006/metadata/properties" xmlns:ns2="a14523ce-dede-483e-883a-2d83261080bd" xmlns:ns3="695ac2ad-ca6a-4295-a12b-f1c802eb0c13" targetNamespace="http://schemas.microsoft.com/office/2006/metadata/properties" ma:root="true" ma:fieldsID="83b9454ea24a894641e92f6599385e22" ns2:_="" ns3:_="">
    <xsd:import namespace="a14523ce-dede-483e-883a-2d83261080bd"/>
    <xsd:import namespace="695ac2ad-ca6a-4295-a12b-f1c802eb0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al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c2ad-ca6a-4295-a12b-f1c802eb0c13" elementFormDefault="qualified">
    <xsd:import namespace="http://schemas.microsoft.com/office/2006/documentManagement/types"/>
    <xsd:import namespace="http://schemas.microsoft.com/office/infopath/2007/PartnerControls"/>
    <xsd:element name="ApprovalStatus" ma:index="12" nillable="true" ma:displayName="Approval Status" ma:internalName="Approval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MARKETS-1478909505-28372</_dlc_DocId>
    <_dlc_DocIdUrl xmlns="a14523ce-dede-483e-883a-2d83261080bd">
      <Url>http://sharedocs/sites/markets/o/sc/_layouts/15/DocIdRedir.aspx?ID=MARKETS-1478909505-28372</Url>
      <Description>MARKETS-1478909505-28372</Description>
    </_dlc_DocIdUrl>
    <ApprovalStatus xmlns="695ac2ad-ca6a-4295-a12b-f1c802eb0c1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E9B6D7-6191-4DB2-9924-812E204BC48C}"/>
</file>

<file path=customXml/itemProps3.xml><?xml version="1.0" encoding="utf-8"?>
<ds:datastoreItem xmlns:ds="http://schemas.openxmlformats.org/officeDocument/2006/customXml" ds:itemID="{4FA979AE-1882-4D2B-8D29-387D04367322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1CD25C-2658-4DA4-A426-7A18D1E21E1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Katelyn Rigden</cp:lastModifiedBy>
  <cp:lastPrinted>2018-09-21T02:22:15Z</cp:lastPrinted>
  <dcterms:created xsi:type="dcterms:W3CDTF">2008-08-08T07:52:00Z</dcterms:created>
  <dcterms:modified xsi:type="dcterms:W3CDTF">2018-12-07T02:44:44Z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0x010100A1DC351AF4C6EA488A85A32454E540DD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f1dede64-b827-494d-9771-1cfc6b7273fd</vt:lpwstr>
  </property>
</Properties>
</file>